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m20525\Dropbox\R-GAIT\Websites\University work\"/>
    </mc:Choice>
  </mc:AlternateContent>
  <bookViews>
    <workbookView xWindow="0" yWindow="456" windowWidth="28800" windowHeight="17544" tabRatio="788" activeTab="3"/>
  </bookViews>
  <sheets>
    <sheet name="Cadence - Heart rate" sheetId="1" r:id="rId1"/>
    <sheet name="Cadence-HR" sheetId="4" r:id="rId2"/>
    <sheet name="Cadence(%)-HR" sheetId="5" r:id="rId3"/>
    <sheet name="GCT_stiffness - Heart rate" sheetId="7" r:id="rId4"/>
    <sheet name="GCT-HR" sheetId="9" r:id="rId5"/>
    <sheet name="Ground contact time(%)-HR" sheetId="10" r:id="rId6"/>
    <sheet name="Leg stiffness-HR" sheetId="13" r:id="rId7"/>
    <sheet name="Leg stiffness(%)-HR" sheetId="12" r:id="rId8"/>
    <sheet name="Calcuations" sheetId="6" state="hidden" r:id="rId9"/>
  </sheets>
  <definedNames>
    <definedName name="ActualCadence">'Cadence - Heart rate'!$D$8:$D$12</definedName>
    <definedName name="ActualGCT">'GCT_stiffness - Heart rate'!$D$11:$D$15</definedName>
    <definedName name="ActualHR">'Cadence - Heart rate'!$C$8:$C$12</definedName>
    <definedName name="ActualHR_GCTdata">'GCT_stiffness - Heart rate'!$C$11:$C$15</definedName>
    <definedName name="ActualKleg">'GCT_stiffness - Heart rate'!$I$11:$I$15</definedName>
    <definedName name="Aerial1">'GCT_stiffness - Heart rate'!$E$11</definedName>
    <definedName name="Aerial2">'GCT_stiffness - Heart rate'!$E$12</definedName>
    <definedName name="Aerial3">'GCT_stiffness - Heart rate'!$E$13</definedName>
    <definedName name="Aerial4">'GCT_stiffness - Heart rate'!$E$14</definedName>
    <definedName name="Aerial5">'GCT_stiffness - Heart rate'!$E$15</definedName>
    <definedName name="AllHR">'Cadence - Heart rate'!$C$8:$C$11</definedName>
    <definedName name="AllStrides">'Cadence - Heart rate'!$D$8:$D$11</definedName>
    <definedName name="BodyMass">'GCT_stiffness - Heart rate'!$A$6</definedName>
    <definedName name="constant">Calcuations!$B$4</definedName>
    <definedName name="constant_GCT">Calcuations!$G$4</definedName>
    <definedName name="constant_Kleg">Calcuations!$L$4</definedName>
    <definedName name="Contact1">'GCT_stiffness - Heart rate'!$D$11</definedName>
    <definedName name="Contact2">'GCT_stiffness - Heart rate'!$D$12</definedName>
    <definedName name="Contact3">'GCT_stiffness - Heart rate'!$D$13</definedName>
    <definedName name="Contact4">'GCT_stiffness - Heart rate'!$D$14</definedName>
    <definedName name="Contact5">'GCT_stiffness - Heart rate'!$D$15</definedName>
    <definedName name="deltaCOM1">'GCT_stiffness - Heart rate'!$H$11</definedName>
    <definedName name="deltaCOM2">'GCT_stiffness - Heart rate'!$H$12</definedName>
    <definedName name="deltaCOM3">'GCT_stiffness - Heart rate'!$H$13</definedName>
    <definedName name="deltaCOM4">'GCT_stiffness - Heart rate'!$H$14</definedName>
    <definedName name="deltaCOM5">'GCT_stiffness - Heart rate'!$H$15</definedName>
    <definedName name="EstimatedLegLength">'GCT_stiffness - Heart rate'!$D$6</definedName>
    <definedName name="HeartRate">'Cadence - Heart rate'!$C$22</definedName>
    <definedName name="Height">'GCT_stiffness - Heart rate'!$B$6</definedName>
    <definedName name="HR_GCT_1">'GCT_stiffness - Heart rate'!$C$12</definedName>
    <definedName name="HR_GCT_2">'GCT_stiffness - Heart rate'!$C$13</definedName>
    <definedName name="HR_GCT_3">'GCT_stiffness - Heart rate'!$C$14</definedName>
    <definedName name="HR_GCT_4">'GCT_stiffness - Heart rate'!$C$15</definedName>
    <definedName name="HR_GCT_pref">'GCT_stiffness - Heart rate'!$C$11</definedName>
    <definedName name="LegStiffness1">'GCT_stiffness - Heart rate'!$I$11</definedName>
    <definedName name="LegStiffness2">'GCT_stiffness - Heart rate'!$I$12</definedName>
    <definedName name="LegStiffness3">'GCT_stiffness - Heart rate'!$I$13</definedName>
    <definedName name="LegStiffness4">'GCT_stiffness - Heart rate'!$I$14</definedName>
    <definedName name="LegStiffness5">'GCT_stiffness - Heart rate'!$I$15</definedName>
    <definedName name="OptimalCadence">'Cadence - Heart rate'!$D$16</definedName>
    <definedName name="OptimalGCT">'GCT_stiffness - Heart rate'!$D$19</definedName>
    <definedName name="OptimalHR">'Cadence - Heart rate'!$D$15</definedName>
    <definedName name="OptimalHR_GCT">'GCT_stiffness - Heart rate'!$D$18</definedName>
    <definedName name="OptimalHR_Kleg">'GCT_stiffness - Heart rate'!$I$18</definedName>
    <definedName name="OptimalKleg">'GCT_stiffness - Heart rate'!$I$19</definedName>
    <definedName name="PeakForce1">'GCT_stiffness - Heart rate'!$G$11</definedName>
    <definedName name="PeakForce2">'GCT_stiffness - Heart rate'!$G$12</definedName>
    <definedName name="PeakForce3">'GCT_stiffness - Heart rate'!$G$13</definedName>
    <definedName name="PeakForce4">'GCT_stiffness - Heart rate'!$G$14</definedName>
    <definedName name="PeakForce5">'GCT_stiffness - Heart rate'!$G$15</definedName>
    <definedName name="PredictedCadence">Calcuations!$B$10:$B$70</definedName>
    <definedName name="PredictedGCT">Calcuations!$G$10:$G$70</definedName>
    <definedName name="PredictedHR">Calcuations!$C$10:$C$70</definedName>
    <definedName name="PredictedHR_GCT">Calcuations!$H$10:$H$70</definedName>
    <definedName name="PredictedHR_Kleg">Calcuations!$M$10:$M$70</definedName>
    <definedName name="PredictedKleg">Calcuations!$L$10:$L$70</definedName>
    <definedName name="PredictedValues">Calcuations!$B$9:$C$70</definedName>
    <definedName name="PreferredCadence">'Cadence - Heart rate'!$D$8</definedName>
    <definedName name="PreferredHR">'Cadence - Heart rate'!$C$8</definedName>
    <definedName name="RunningVelocity">'GCT_stiffness - Heart rate'!$C$6</definedName>
    <definedName name="SecondOrderC1">Calcuations!$B$2</definedName>
    <definedName name="SecondOrderC1_GCT">Calcuations!$G$2</definedName>
    <definedName name="SecondOrderC1_Kleg">Calcuations!$L$2</definedName>
    <definedName name="SecondOrderC2">Calcuations!$B$3</definedName>
    <definedName name="SecondOrderC2_GCT">Calcuations!$G$3</definedName>
    <definedName name="SecondOrderC2_Kleg">Calcuations!$L$3</definedName>
    <definedName name="solver_adj" localSheetId="0" hidden="1">'Cadence - Heart rate'!$C$8:$D$12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'Cadence - Heart rate'!$C$22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x">'Cadence - Heart rate'!$D$8:$D$12</definedName>
    <definedName name="y">'Cadence - Heart rate'!$C$8:$C$12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7" l="1"/>
  <c r="D6" i="7"/>
  <c r="G2" i="6" l="1"/>
  <c r="G3" i="6"/>
  <c r="G4" i="6"/>
  <c r="G7" i="6"/>
  <c r="G10" i="6"/>
  <c r="B7" i="6"/>
  <c r="B10" i="6"/>
  <c r="B2" i="6"/>
  <c r="F15" i="7"/>
  <c r="F13" i="7"/>
  <c r="F12" i="7"/>
  <c r="G15" i="7"/>
  <c r="H15" i="7" s="1"/>
  <c r="G14" i="7"/>
  <c r="H14" i="7" s="1"/>
  <c r="G13" i="7"/>
  <c r="G12" i="7"/>
  <c r="G11" i="7"/>
  <c r="H10" i="6" l="1"/>
  <c r="G11" i="6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H70" i="6" s="1"/>
  <c r="I14" i="7"/>
  <c r="I15" i="7"/>
  <c r="H13" i="7"/>
  <c r="I13" i="7" s="1"/>
  <c r="H12" i="7"/>
  <c r="I12" i="7" s="1"/>
  <c r="H11" i="7"/>
  <c r="I11" i="7" s="1"/>
  <c r="B11" i="6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E9" i="1"/>
  <c r="E12" i="1"/>
  <c r="E11" i="1"/>
  <c r="E10" i="1"/>
  <c r="J13" i="7" l="1"/>
  <c r="J12" i="7"/>
  <c r="J15" i="7"/>
  <c r="J14" i="7"/>
  <c r="H27" i="6"/>
  <c r="H42" i="6"/>
  <c r="H26" i="6"/>
  <c r="H67" i="6"/>
  <c r="H54" i="6"/>
  <c r="H39" i="6"/>
  <c r="H46" i="6"/>
  <c r="H56" i="6"/>
  <c r="H14" i="6"/>
  <c r="H66" i="6"/>
  <c r="H45" i="6"/>
  <c r="H52" i="6"/>
  <c r="H23" i="6"/>
  <c r="H38" i="6"/>
  <c r="H19" i="6"/>
  <c r="H51" i="6"/>
  <c r="H58" i="6"/>
  <c r="H47" i="6"/>
  <c r="H50" i="6"/>
  <c r="H37" i="6"/>
  <c r="L10" i="6"/>
  <c r="L4" i="6"/>
  <c r="L3" i="6"/>
  <c r="L2" i="6"/>
  <c r="L7" i="6"/>
  <c r="H57" i="6"/>
  <c r="H64" i="6"/>
  <c r="H65" i="6"/>
  <c r="H11" i="6"/>
  <c r="H61" i="6"/>
  <c r="H69" i="6"/>
  <c r="H35" i="6"/>
  <c r="H24" i="6"/>
  <c r="H29" i="6"/>
  <c r="H32" i="6"/>
  <c r="H34" i="6"/>
  <c r="H62" i="6"/>
  <c r="H53" i="6"/>
  <c r="H36" i="6"/>
  <c r="H41" i="6"/>
  <c r="H44" i="6"/>
  <c r="H55" i="6"/>
  <c r="H33" i="6"/>
  <c r="H16" i="6"/>
  <c r="H13" i="6"/>
  <c r="H48" i="6"/>
  <c r="H59" i="6"/>
  <c r="H68" i="6"/>
  <c r="H49" i="6"/>
  <c r="H40" i="6"/>
  <c r="H63" i="6"/>
  <c r="H12" i="6"/>
  <c r="H22" i="6"/>
  <c r="H25" i="6"/>
  <c r="H60" i="6"/>
  <c r="H18" i="6"/>
  <c r="H15" i="6"/>
  <c r="H17" i="6"/>
  <c r="H20" i="6"/>
  <c r="H21" i="6"/>
  <c r="H28" i="6"/>
  <c r="H43" i="6"/>
  <c r="H31" i="6"/>
  <c r="H30" i="6"/>
  <c r="B4" i="6"/>
  <c r="B3" i="6"/>
  <c r="D18" i="7" l="1"/>
  <c r="D19" i="7" s="1"/>
  <c r="L11" i="6"/>
  <c r="L12" i="6" s="1"/>
  <c r="L13" i="6" s="1"/>
  <c r="M13" i="6" s="1"/>
  <c r="M10" i="6"/>
  <c r="C10" i="6"/>
  <c r="M12" i="6" l="1"/>
  <c r="M11" i="6"/>
  <c r="L14" i="6"/>
  <c r="M14" i="6" s="1"/>
  <c r="D20" i="7"/>
  <c r="E20" i="7"/>
  <c r="C11" i="6"/>
  <c r="L15" i="6" l="1"/>
  <c r="M15" i="6" s="1"/>
  <c r="C12" i="6"/>
  <c r="L16" i="6" l="1"/>
  <c r="M16" i="6" s="1"/>
  <c r="C13" i="6"/>
  <c r="L17" i="6" l="1"/>
  <c r="M17" i="6" s="1"/>
  <c r="C14" i="6"/>
  <c r="L18" i="6" l="1"/>
  <c r="M18" i="6" s="1"/>
  <c r="C15" i="6"/>
  <c r="L19" i="6" l="1"/>
  <c r="M19" i="6" s="1"/>
  <c r="C16" i="6"/>
  <c r="L20" i="6" l="1"/>
  <c r="M20" i="6" s="1"/>
  <c r="C17" i="6"/>
  <c r="L21" i="6" l="1"/>
  <c r="M21" i="6" s="1"/>
  <c r="C18" i="6"/>
  <c r="L22" i="6" l="1"/>
  <c r="M22" i="6" s="1"/>
  <c r="C19" i="6"/>
  <c r="L23" i="6" l="1"/>
  <c r="M23" i="6" s="1"/>
  <c r="C20" i="6"/>
  <c r="L24" i="6" l="1"/>
  <c r="M24" i="6" s="1"/>
  <c r="C21" i="6"/>
  <c r="L25" i="6" l="1"/>
  <c r="M25" i="6" s="1"/>
  <c r="C22" i="6"/>
  <c r="L26" i="6" l="1"/>
  <c r="M26" i="6" s="1"/>
  <c r="C23" i="6"/>
  <c r="L27" i="6" l="1"/>
  <c r="M27" i="6" s="1"/>
  <c r="C24" i="6"/>
  <c r="L28" i="6" l="1"/>
  <c r="M28" i="6" s="1"/>
  <c r="C25" i="6"/>
  <c r="L29" i="6" l="1"/>
  <c r="M29" i="6" s="1"/>
  <c r="C26" i="6"/>
  <c r="L30" i="6" l="1"/>
  <c r="M30" i="6" s="1"/>
  <c r="C27" i="6"/>
  <c r="L31" i="6" l="1"/>
  <c r="M31" i="6" s="1"/>
  <c r="C28" i="6"/>
  <c r="L32" i="6" l="1"/>
  <c r="M32" i="6" s="1"/>
  <c r="C29" i="6"/>
  <c r="L33" i="6" l="1"/>
  <c r="M33" i="6" s="1"/>
  <c r="C30" i="6"/>
  <c r="L34" i="6" l="1"/>
  <c r="M34" i="6" s="1"/>
  <c r="C31" i="6"/>
  <c r="L35" i="6" l="1"/>
  <c r="M35" i="6" s="1"/>
  <c r="C32" i="6"/>
  <c r="L36" i="6" l="1"/>
  <c r="M36" i="6" s="1"/>
  <c r="C33" i="6"/>
  <c r="L37" i="6" l="1"/>
  <c r="M37" i="6" s="1"/>
  <c r="C34" i="6"/>
  <c r="L38" i="6" l="1"/>
  <c r="M38" i="6" s="1"/>
  <c r="C35" i="6"/>
  <c r="L39" i="6" l="1"/>
  <c r="M39" i="6" s="1"/>
  <c r="C36" i="6"/>
  <c r="L40" i="6" l="1"/>
  <c r="M40" i="6" s="1"/>
  <c r="C37" i="6"/>
  <c r="L41" i="6" l="1"/>
  <c r="M41" i="6" s="1"/>
  <c r="C38" i="6"/>
  <c r="L42" i="6" l="1"/>
  <c r="M42" i="6" s="1"/>
  <c r="C39" i="6"/>
  <c r="L43" i="6" l="1"/>
  <c r="M43" i="6" s="1"/>
  <c r="C40" i="6"/>
  <c r="L44" i="6" l="1"/>
  <c r="M44" i="6" s="1"/>
  <c r="C41" i="6"/>
  <c r="L45" i="6" l="1"/>
  <c r="M45" i="6" s="1"/>
  <c r="C42" i="6"/>
  <c r="L46" i="6" l="1"/>
  <c r="M46" i="6" s="1"/>
  <c r="C43" i="6"/>
  <c r="L47" i="6" l="1"/>
  <c r="M47" i="6" s="1"/>
  <c r="C44" i="6"/>
  <c r="L48" i="6" l="1"/>
  <c r="M48" i="6" s="1"/>
  <c r="C45" i="6"/>
  <c r="L49" i="6" l="1"/>
  <c r="M49" i="6" s="1"/>
  <c r="C46" i="6"/>
  <c r="L50" i="6" l="1"/>
  <c r="M50" i="6" s="1"/>
  <c r="C47" i="6"/>
  <c r="L51" i="6" l="1"/>
  <c r="M51" i="6" s="1"/>
  <c r="C48" i="6"/>
  <c r="L52" i="6" l="1"/>
  <c r="M52" i="6" s="1"/>
  <c r="C49" i="6"/>
  <c r="L53" i="6" l="1"/>
  <c r="M53" i="6" s="1"/>
  <c r="C50" i="6"/>
  <c r="L54" i="6" l="1"/>
  <c r="M54" i="6" s="1"/>
  <c r="C51" i="6"/>
  <c r="L55" i="6" l="1"/>
  <c r="M55" i="6" s="1"/>
  <c r="C52" i="6"/>
  <c r="L56" i="6" l="1"/>
  <c r="M56" i="6" s="1"/>
  <c r="C53" i="6"/>
  <c r="L57" i="6" l="1"/>
  <c r="M57" i="6" s="1"/>
  <c r="C54" i="6"/>
  <c r="L58" i="6" l="1"/>
  <c r="M58" i="6" s="1"/>
  <c r="C55" i="6"/>
  <c r="L59" i="6" l="1"/>
  <c r="M59" i="6" s="1"/>
  <c r="C56" i="6"/>
  <c r="L60" i="6" l="1"/>
  <c r="M60" i="6" s="1"/>
  <c r="C57" i="6"/>
  <c r="L61" i="6" l="1"/>
  <c r="M61" i="6" s="1"/>
  <c r="C58" i="6"/>
  <c r="L62" i="6" l="1"/>
  <c r="M62" i="6" s="1"/>
  <c r="C59" i="6"/>
  <c r="L63" i="6" l="1"/>
  <c r="M63" i="6" s="1"/>
  <c r="C60" i="6"/>
  <c r="L64" i="6" l="1"/>
  <c r="M64" i="6" s="1"/>
  <c r="C61" i="6"/>
  <c r="L65" i="6" l="1"/>
  <c r="M65" i="6" s="1"/>
  <c r="C62" i="6"/>
  <c r="L66" i="6" l="1"/>
  <c r="M66" i="6" s="1"/>
  <c r="C63" i="6"/>
  <c r="L67" i="6" l="1"/>
  <c r="M67" i="6" s="1"/>
  <c r="C64" i="6"/>
  <c r="L68" i="6" l="1"/>
  <c r="M68" i="6" s="1"/>
  <c r="C65" i="6"/>
  <c r="L69" i="6" l="1"/>
  <c r="M69" i="6" s="1"/>
  <c r="C66" i="6"/>
  <c r="L70" i="6" l="1"/>
  <c r="M70" i="6" s="1"/>
  <c r="I18" i="7" s="1"/>
  <c r="I19" i="7" s="1"/>
  <c r="C67" i="6"/>
  <c r="I20" i="7" l="1"/>
  <c r="J20" i="7"/>
  <c r="C68" i="6"/>
  <c r="C69" i="6" l="1"/>
  <c r="C70" i="6"/>
  <c r="D15" i="1" l="1"/>
  <c r="D16" i="1" l="1"/>
  <c r="D17" i="1" l="1"/>
  <c r="E17" i="1"/>
</calcChain>
</file>

<file path=xl/sharedStrings.xml><?xml version="1.0" encoding="utf-8"?>
<sst xmlns="http://schemas.openxmlformats.org/spreadsheetml/2006/main" count="66" uniqueCount="50">
  <si>
    <t>Heart rate
(beats per min)</t>
  </si>
  <si>
    <t>Trial</t>
  </si>
  <si>
    <t>NB. Not all datasets will produce a U-shaped relationship</t>
  </si>
  <si>
    <t>Preferred</t>
  </si>
  <si>
    <t>Heart Rate</t>
  </si>
  <si>
    <t>SL</t>
  </si>
  <si>
    <t>constant</t>
  </si>
  <si>
    <t>Second order C1</t>
  </si>
  <si>
    <t>Second order C2</t>
  </si>
  <si>
    <t>Predicted HR based on equation</t>
  </si>
  <si>
    <t>SL/SF increment</t>
  </si>
  <si>
    <t>Predicted within known SF/SLs</t>
  </si>
  <si>
    <t>Lowest heart rate</t>
  </si>
  <si>
    <t>Cadence (steps per min)</t>
  </si>
  <si>
    <t>Cadence (% of preferred)</t>
  </si>
  <si>
    <t xml:space="preserve">Economical cadence </t>
  </si>
  <si>
    <t>Optimal cadence is</t>
  </si>
  <si>
    <t>Altered cadence 1</t>
  </si>
  <si>
    <t>Altered cadence 2</t>
  </si>
  <si>
    <t>Altered cadence 3</t>
  </si>
  <si>
    <t>Altered cadence 4</t>
  </si>
  <si>
    <t>Ground contact time
(seconds)</t>
  </si>
  <si>
    <t>Aerial time (seconds)</t>
  </si>
  <si>
    <t>Height (m)</t>
  </si>
  <si>
    <t>Body mass (kg)</t>
  </si>
  <si>
    <t>Running velocity (m/s)</t>
  </si>
  <si>
    <t>Estimated leg length (m)</t>
  </si>
  <si>
    <t>Peak force (N)</t>
  </si>
  <si>
    <t>Ground contact time (% of preferred)</t>
  </si>
  <si>
    <t xml:space="preserve">Economical ground contact time </t>
  </si>
  <si>
    <t>Optimal ground contact time is</t>
  </si>
  <si>
    <t>GCT</t>
  </si>
  <si>
    <t>Economical leg stiffness</t>
  </si>
  <si>
    <t>Optimal leg stiffness is</t>
  </si>
  <si>
    <t>GCT increment</t>
  </si>
  <si>
    <t>Heart Rate_GCT</t>
  </si>
  <si>
    <t>Predicted within known GCTs</t>
  </si>
  <si>
    <t>Leg stiffness (% of preferred)</t>
  </si>
  <si>
    <t>Kleg (N/m)</t>
  </si>
  <si>
    <t>Delta centre of mass (cm)</t>
  </si>
  <si>
    <t>Created by Dr Izzy Moore (v3. 2020)</t>
  </si>
  <si>
    <r>
      <t>Insert</t>
    </r>
    <r>
      <rPr>
        <b/>
        <sz val="14"/>
        <color theme="1"/>
        <rFont val="Calibri"/>
        <family val="2"/>
        <scheme val="minor"/>
      </rPr>
      <t xml:space="preserve"> heart rate and stride length /stride frequency</t>
    </r>
    <r>
      <rPr>
        <sz val="14"/>
        <color theme="1"/>
        <rFont val="Calibri"/>
        <family val="2"/>
        <scheme val="minor"/>
      </rPr>
      <t xml:space="preserve"> values into column C and D respectively (white boxes). The graphs will automatically populate (Cadence-HR &amp; Cadence(%)-HR). The '</t>
    </r>
    <r>
      <rPr>
        <b/>
        <sz val="14"/>
        <color theme="1"/>
        <rFont val="Calibri"/>
        <family val="2"/>
        <scheme val="minor"/>
      </rPr>
      <t>economical stride length</t>
    </r>
    <r>
      <rPr>
        <sz val="14"/>
        <color theme="1"/>
        <rFont val="Calibri"/>
        <family val="2"/>
        <scheme val="minor"/>
      </rPr>
      <t>' is calculated based on the lowest heart rate using a second order polynomial.</t>
    </r>
  </si>
  <si>
    <r>
      <t>Insert body mass, height and running velocity into row 6. Insert</t>
    </r>
    <r>
      <rPr>
        <b/>
        <sz val="14"/>
        <color theme="1"/>
        <rFont val="Calibri"/>
        <family val="2"/>
        <scheme val="minor"/>
      </rPr>
      <t xml:space="preserve"> heart rate and ground contact and aerial time</t>
    </r>
    <r>
      <rPr>
        <sz val="14"/>
        <color theme="1"/>
        <rFont val="Calibri"/>
        <family val="2"/>
        <scheme val="minor"/>
      </rPr>
      <t xml:space="preserve"> into column C, D and E respectively (white boxes). The graphs will automatically populate (GCT-HR &amp; Leg stiffness-HR). The </t>
    </r>
    <r>
      <rPr>
        <b/>
        <sz val="14"/>
        <color theme="1"/>
        <rFont val="Calibri"/>
        <family val="2"/>
        <scheme val="minor"/>
      </rPr>
      <t>economical ground contact time and leg stiffness</t>
    </r>
    <r>
      <rPr>
        <sz val="14"/>
        <color theme="1"/>
        <rFont val="Calibri"/>
        <family val="2"/>
        <scheme val="minor"/>
      </rPr>
      <t xml:space="preserve"> is calculated based on the lowest heart rate using a second order polynomial.</t>
    </r>
  </si>
  <si>
    <t>Leg stiffness</t>
  </si>
  <si>
    <t>Leg stiffness increment</t>
  </si>
  <si>
    <t>Heart Rate_Leg stiffness</t>
  </si>
  <si>
    <t>Altered contact time 1</t>
  </si>
  <si>
    <t>Altered contact time 2</t>
  </si>
  <si>
    <t>Altered contact time 3</t>
  </si>
  <si>
    <t>Altered contact time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</si>
</sst>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0.000"/>
    <numFmt numFmtId="167" formatCode="0.0000"/>
  </numFmts>
  <fonts count="15" x14ac:knownFonts="1"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theme="0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</borders>
  <cellStyleXfs count="32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4" borderId="9" xfId="0" applyFill="1" applyBorder="1"/>
    <xf numFmtId="0" fontId="0" fillId="4" borderId="11" xfId="0" applyFill="1" applyBorder="1"/>
    <xf numFmtId="0" fontId="0" fillId="4" borderId="14" xfId="0" applyFill="1" applyBorder="1"/>
    <xf numFmtId="0" fontId="0" fillId="0" borderId="0" xfId="0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/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  <protection hidden="1"/>
    </xf>
    <xf numFmtId="2" fontId="2" fillId="7" borderId="2" xfId="0" applyNumberFormat="1" applyFont="1" applyFill="1" applyBorder="1" applyAlignment="1" applyProtection="1">
      <alignment horizontal="center" vertical="center"/>
      <protection hidden="1"/>
    </xf>
    <xf numFmtId="0" fontId="7" fillId="7" borderId="2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164" fontId="3" fillId="7" borderId="16" xfId="0" applyNumberFormat="1" applyFont="1" applyFill="1" applyBorder="1" applyAlignment="1" applyProtection="1">
      <alignment horizontal="center"/>
      <protection hidden="1"/>
    </xf>
    <xf numFmtId="1" fontId="3" fillId="4" borderId="16" xfId="0" applyNumberFormat="1" applyFont="1" applyFill="1" applyBorder="1" applyAlignment="1" applyProtection="1">
      <alignment horizontal="center" vertical="center"/>
      <protection hidden="1"/>
    </xf>
    <xf numFmtId="166" fontId="3" fillId="4" borderId="16" xfId="0" applyNumberFormat="1" applyFont="1" applyFill="1" applyBorder="1" applyAlignment="1" applyProtection="1">
      <alignment horizontal="center" vertical="center"/>
      <protection hidden="1"/>
    </xf>
    <xf numFmtId="164" fontId="3" fillId="7" borderId="3" xfId="0" applyNumberFormat="1" applyFont="1" applyFill="1" applyBorder="1" applyAlignment="1" applyProtection="1">
      <alignment horizontal="center"/>
      <protection hidden="1"/>
    </xf>
    <xf numFmtId="1" fontId="3" fillId="4" borderId="3" xfId="0" applyNumberFormat="1" applyFont="1" applyFill="1" applyBorder="1" applyAlignment="1" applyProtection="1">
      <alignment horizontal="center" vertical="center"/>
      <protection hidden="1"/>
    </xf>
    <xf numFmtId="166" fontId="3" fillId="4" borderId="3" xfId="0" applyNumberFormat="1" applyFont="1" applyFill="1" applyBorder="1" applyAlignment="1" applyProtection="1">
      <alignment horizontal="center" vertical="center"/>
      <protection hidden="1"/>
    </xf>
    <xf numFmtId="164" fontId="3" fillId="7" borderId="4" xfId="0" applyNumberFormat="1" applyFont="1" applyFill="1" applyBorder="1" applyAlignment="1" applyProtection="1">
      <alignment horizontal="center"/>
      <protection hidden="1"/>
    </xf>
    <xf numFmtId="1" fontId="3" fillId="4" borderId="4" xfId="0" applyNumberFormat="1" applyFont="1" applyFill="1" applyBorder="1" applyAlignment="1" applyProtection="1">
      <alignment horizontal="center" vertical="center"/>
      <protection hidden="1"/>
    </xf>
    <xf numFmtId="166" fontId="3" fillId="4" borderId="4" xfId="0" applyNumberFormat="1" applyFont="1" applyFill="1" applyBorder="1" applyAlignment="1" applyProtection="1">
      <alignment horizontal="center" vertical="center"/>
      <protection hidden="1"/>
    </xf>
    <xf numFmtId="1" fontId="7" fillId="5" borderId="6" xfId="1" applyNumberFormat="1" applyFont="1" applyFill="1" applyBorder="1" applyAlignment="1" applyProtection="1">
      <alignment horizontal="center" vertical="center"/>
      <protection hidden="1"/>
    </xf>
    <xf numFmtId="0" fontId="0" fillId="4" borderId="21" xfId="0" applyFill="1" applyBorder="1" applyProtection="1">
      <protection hidden="1"/>
    </xf>
    <xf numFmtId="1" fontId="7" fillId="5" borderId="5" xfId="1" applyNumberFormat="1" applyFont="1" applyFill="1" applyBorder="1" applyAlignment="1" applyProtection="1">
      <alignment horizontal="center" vertical="center"/>
      <protection hidden="1"/>
    </xf>
    <xf numFmtId="10" fontId="10" fillId="5" borderId="18" xfId="0" applyNumberFormat="1" applyFont="1" applyFill="1" applyBorder="1" applyAlignment="1" applyProtection="1">
      <alignment horizontal="center" vertical="center"/>
      <protection hidden="1"/>
    </xf>
    <xf numFmtId="0" fontId="11" fillId="6" borderId="2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167" fontId="7" fillId="5" borderId="5" xfId="1" applyNumberFormat="1" applyFont="1" applyFill="1" applyBorder="1" applyAlignment="1" applyProtection="1">
      <alignment horizontal="center" vertical="center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164" fontId="3" fillId="8" borderId="16" xfId="0" applyNumberFormat="1" applyFont="1" applyFill="1" applyBorder="1" applyAlignment="1" applyProtection="1">
      <alignment horizontal="center"/>
      <protection hidden="1"/>
    </xf>
    <xf numFmtId="164" fontId="3" fillId="8" borderId="3" xfId="0" applyNumberFormat="1" applyFont="1" applyFill="1" applyBorder="1" applyAlignment="1" applyProtection="1">
      <alignment horizontal="center"/>
      <protection hidden="1"/>
    </xf>
    <xf numFmtId="164" fontId="3" fillId="8" borderId="4" xfId="0" applyNumberFormat="1" applyFont="1" applyFill="1" applyBorder="1" applyAlignment="1" applyProtection="1">
      <alignment horizontal="center"/>
      <protection hidden="1"/>
    </xf>
    <xf numFmtId="0" fontId="0" fillId="4" borderId="11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7" fillId="5" borderId="15" xfId="1" applyFont="1" applyFill="1" applyBorder="1" applyAlignment="1" applyProtection="1">
      <alignment horizontal="left" vertical="center" wrapText="1"/>
      <protection hidden="1"/>
    </xf>
    <xf numFmtId="0" fontId="7" fillId="5" borderId="5" xfId="0" applyFont="1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2" fillId="7" borderId="2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 vertical="center"/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8" fillId="6" borderId="7" xfId="0" applyFont="1" applyFill="1" applyBorder="1" applyAlignment="1" applyProtection="1">
      <alignment horizontal="center" vertical="center" wrapText="1"/>
      <protection hidden="1"/>
    </xf>
    <xf numFmtId="0" fontId="8" fillId="6" borderId="8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0" fontId="8" fillId="6" borderId="12" xfId="0" applyFont="1" applyFill="1" applyBorder="1" applyAlignment="1" applyProtection="1">
      <alignment horizontal="center" vertical="center" wrapText="1"/>
      <protection hidden="1"/>
    </xf>
    <xf numFmtId="0" fontId="8" fillId="6" borderId="13" xfId="0" applyFont="1" applyFill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4" borderId="25" xfId="0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0" fillId="4" borderId="26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0" fillId="4" borderId="22" xfId="0" applyFill="1" applyBorder="1" applyProtection="1">
      <protection hidden="1"/>
    </xf>
    <xf numFmtId="0" fontId="0" fillId="4" borderId="28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0" fillId="4" borderId="20" xfId="0" applyFill="1" applyBorder="1" applyProtection="1"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6" fontId="0" fillId="3" borderId="3" xfId="0" applyNumberFormat="1" applyFill="1" applyBorder="1" applyAlignment="1" applyProtection="1">
      <alignment horizontal="center"/>
      <protection locked="0"/>
    </xf>
    <xf numFmtId="166" fontId="0" fillId="3" borderId="26" xfId="0" applyNumberFormat="1" applyFill="1" applyBorder="1" applyAlignment="1" applyProtection="1">
      <alignment horizontal="center"/>
      <protection locked="0"/>
    </xf>
    <xf numFmtId="166" fontId="0" fillId="3" borderId="4" xfId="0" applyNumberFormat="1" applyFill="1" applyBorder="1" applyAlignment="1" applyProtection="1">
      <alignment horizontal="center" vertical="center"/>
      <protection locked="0"/>
    </xf>
    <xf numFmtId="166" fontId="0" fillId="3" borderId="27" xfId="0" applyNumberFormat="1" applyFill="1" applyBorder="1" applyAlignment="1" applyProtection="1">
      <alignment horizontal="center" vertical="center"/>
      <protection locked="0"/>
    </xf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Output" xfId="1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Cadence </a:t>
            </a:r>
            <a:r>
              <a:rPr lang="en-US" baseline="0"/>
              <a:t>- Heart Rate relationship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478346456692897E-2"/>
          <c:y val="0.103846153846154"/>
          <c:w val="0.85455886664432901"/>
          <c:h val="0.77822595288796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'Cadence - Heart rate'!$C$7</c:f>
              <c:strCache>
                <c:ptCount val="1"/>
                <c:pt idx="0">
                  <c:v>Heart rate
(beats per min)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9"/>
            <c:spPr>
              <a:ln w="31750">
                <a:solidFill>
                  <a:srgbClr val="FF0000"/>
                </a:solidFill>
              </a:ln>
            </c:spPr>
          </c:marker>
          <c:trendline>
            <c:spPr>
              <a:ln w="28575">
                <a:solidFill>
                  <a:schemeClr val="tx1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'Cadence - Heart rate'!$D$8:$D$12</c:f>
              <c:numCache>
                <c:formatCode>General</c:formatCode>
                <c:ptCount val="5"/>
                <c:pt idx="0">
                  <c:v>170</c:v>
                </c:pt>
                <c:pt idx="1">
                  <c:v>160</c:v>
                </c:pt>
                <c:pt idx="2">
                  <c:v>150</c:v>
                </c:pt>
                <c:pt idx="3">
                  <c:v>180</c:v>
                </c:pt>
                <c:pt idx="4">
                  <c:v>190</c:v>
                </c:pt>
              </c:numCache>
            </c:numRef>
          </c:xVal>
          <c:yVal>
            <c:numRef>
              <c:f>'Cadence - Heart rate'!$C$8:$C$12</c:f>
              <c:numCache>
                <c:formatCode>General</c:formatCode>
                <c:ptCount val="5"/>
                <c:pt idx="0">
                  <c:v>145</c:v>
                </c:pt>
                <c:pt idx="1">
                  <c:v>147</c:v>
                </c:pt>
                <c:pt idx="2">
                  <c:v>159</c:v>
                </c:pt>
                <c:pt idx="3">
                  <c:v>149</c:v>
                </c:pt>
                <c:pt idx="4">
                  <c:v>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F2-8543-A1CC-0DC20D224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7416400"/>
        <c:axId val="-437406560"/>
      </c:scatterChart>
      <c:valAx>
        <c:axId val="-437416400"/>
        <c:scaling>
          <c:orientation val="minMax"/>
          <c:max val="200"/>
          <c:min val="14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Cadence (steps per 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06560"/>
        <c:crosses val="autoZero"/>
        <c:crossBetween val="midCat"/>
      </c:valAx>
      <c:valAx>
        <c:axId val="-437406560"/>
        <c:scaling>
          <c:orientation val="minMax"/>
          <c:max val="190"/>
          <c:min val="1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Heart rate (bpm)</a:t>
                </a:r>
              </a:p>
            </c:rich>
          </c:tx>
          <c:layout>
            <c:manualLayout>
              <c:xMode val="edge"/>
              <c:yMode val="edge"/>
              <c:x val="1.5723270440251599E-3"/>
              <c:y val="0.381074769499965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16400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tx1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Cadence </a:t>
            </a:r>
            <a:r>
              <a:rPr lang="en-US" baseline="0"/>
              <a:t>- Heart Rate relationship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478346456692897E-2"/>
          <c:y val="0.103846153846154"/>
          <c:w val="0.85455886664432901"/>
          <c:h val="0.77822595288796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'Cadence - Heart rate'!$C$7</c:f>
              <c:strCache>
                <c:ptCount val="1"/>
                <c:pt idx="0">
                  <c:v>Heart rate
(beats per min)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9"/>
            <c:spPr>
              <a:ln w="31750">
                <a:solidFill>
                  <a:srgbClr val="FF0000"/>
                </a:solidFill>
              </a:ln>
            </c:spPr>
          </c:marker>
          <c:trendline>
            <c:spPr>
              <a:ln w="28575">
                <a:solidFill>
                  <a:schemeClr val="tx1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'Cadence - Heart rate'!$E$8:$E$12</c:f>
              <c:numCache>
                <c:formatCode>0.0%</c:formatCode>
                <c:ptCount val="5"/>
                <c:pt idx="0">
                  <c:v>0</c:v>
                </c:pt>
                <c:pt idx="1">
                  <c:v>-5.8823529411764705E-2</c:v>
                </c:pt>
                <c:pt idx="2">
                  <c:v>-0.11764705882352941</c:v>
                </c:pt>
                <c:pt idx="3">
                  <c:v>5.8823529411764705E-2</c:v>
                </c:pt>
                <c:pt idx="4">
                  <c:v>0.11764705882352941</c:v>
                </c:pt>
              </c:numCache>
            </c:numRef>
          </c:xVal>
          <c:yVal>
            <c:numRef>
              <c:f>'Cadence - Heart rate'!$C$8:$C$12</c:f>
              <c:numCache>
                <c:formatCode>General</c:formatCode>
                <c:ptCount val="5"/>
                <c:pt idx="0">
                  <c:v>145</c:v>
                </c:pt>
                <c:pt idx="1">
                  <c:v>147</c:v>
                </c:pt>
                <c:pt idx="2">
                  <c:v>159</c:v>
                </c:pt>
                <c:pt idx="3">
                  <c:v>149</c:v>
                </c:pt>
                <c:pt idx="4">
                  <c:v>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CC-354B-BCEE-F40AB881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7416400"/>
        <c:axId val="-437406560"/>
      </c:scatterChart>
      <c:valAx>
        <c:axId val="-4374164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Cadence (% of preferred)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06560"/>
        <c:crosses val="autoZero"/>
        <c:crossBetween val="midCat"/>
      </c:valAx>
      <c:valAx>
        <c:axId val="-437406560"/>
        <c:scaling>
          <c:orientation val="minMax"/>
          <c:max val="190"/>
          <c:min val="1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Heart rate (bpm)</a:t>
                </a:r>
              </a:p>
            </c:rich>
          </c:tx>
          <c:layout>
            <c:manualLayout>
              <c:xMode val="edge"/>
              <c:yMode val="edge"/>
              <c:x val="1.5723270440251599E-3"/>
              <c:y val="0.381074769499965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16400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tx1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Stride</a:t>
            </a:r>
            <a:r>
              <a:rPr lang="en-US" baseline="0"/>
              <a:t> length - Heart Rate relationship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478346456692897E-2"/>
          <c:y val="0.103846153846154"/>
          <c:w val="0.85455886664432901"/>
          <c:h val="0.77822595288796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'GCT_stiffness - Heart rate'!$C$11</c:f>
              <c:strCache>
                <c:ptCount val="1"/>
                <c:pt idx="0">
                  <c:v>145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9"/>
            <c:spPr>
              <a:ln w="31750">
                <a:solidFill>
                  <a:srgbClr val="FF0000"/>
                </a:solidFill>
              </a:ln>
            </c:spPr>
          </c:marker>
          <c:trendline>
            <c:spPr>
              <a:ln w="28575">
                <a:solidFill>
                  <a:schemeClr val="tx1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'GCT_stiffness - Heart rate'!$D$11:$D$15</c:f>
              <c:numCache>
                <c:formatCode>0.000</c:formatCode>
                <c:ptCount val="5"/>
                <c:pt idx="0">
                  <c:v>0.27975</c:v>
                </c:pt>
                <c:pt idx="1">
                  <c:v>0.307</c:v>
                </c:pt>
                <c:pt idx="2">
                  <c:v>0.26824999999999999</c:v>
                </c:pt>
                <c:pt idx="3">
                  <c:v>0.25262499999999999</c:v>
                </c:pt>
                <c:pt idx="4">
                  <c:v>0.29949999999999999</c:v>
                </c:pt>
              </c:numCache>
            </c:numRef>
          </c:xVal>
          <c:yVal>
            <c:numRef>
              <c:f>'GCT_stiffness - Heart rate'!$C$11:$C$15</c:f>
              <c:numCache>
                <c:formatCode>General</c:formatCode>
                <c:ptCount val="5"/>
                <c:pt idx="0">
                  <c:v>145</c:v>
                </c:pt>
                <c:pt idx="1">
                  <c:v>157</c:v>
                </c:pt>
                <c:pt idx="2">
                  <c:v>147</c:v>
                </c:pt>
                <c:pt idx="3">
                  <c:v>155</c:v>
                </c:pt>
                <c:pt idx="4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3-483E-A408-679BE368E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7416400"/>
        <c:axId val="-437406560"/>
      </c:scatterChart>
      <c:valAx>
        <c:axId val="-4374164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Ground contact</a:t>
                </a:r>
                <a:r>
                  <a:rPr lang="en-US" sz="1200" baseline="0"/>
                  <a:t> time </a:t>
                </a:r>
                <a:r>
                  <a:rPr lang="en-US" sz="1200"/>
                  <a:t>(s)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06560"/>
        <c:crosses val="autoZero"/>
        <c:crossBetween val="midCat"/>
      </c:valAx>
      <c:valAx>
        <c:axId val="-437406560"/>
        <c:scaling>
          <c:orientation val="minMax"/>
          <c:max val="190"/>
          <c:min val="1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Heart rate (bpm)</a:t>
                </a:r>
              </a:p>
            </c:rich>
          </c:tx>
          <c:layout>
            <c:manualLayout>
              <c:xMode val="edge"/>
              <c:yMode val="edge"/>
              <c:x val="1.5723270440251599E-3"/>
              <c:y val="0.381074769499965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16400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tx1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Ground contact time </a:t>
            </a:r>
            <a:r>
              <a:rPr lang="en-US" baseline="0"/>
              <a:t>- Heart Rate relationship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478346456692897E-2"/>
          <c:y val="0.103846153846154"/>
          <c:w val="0.85455886664432901"/>
          <c:h val="0.77822595288796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'GCT_stiffness - Heart rate'!$C$7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ymbol val="x"/>
            <c:size val="9"/>
            <c:spPr>
              <a:ln w="31750">
                <a:solidFill>
                  <a:srgbClr val="FF0000"/>
                </a:solidFill>
              </a:ln>
            </c:spPr>
          </c:marker>
          <c:trendline>
            <c:spPr>
              <a:ln w="28575">
                <a:solidFill>
                  <a:schemeClr val="tx1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'GCT_stiffness - Heart rate'!$F$11:$F$15</c:f>
              <c:numCache>
                <c:formatCode>0.0%</c:formatCode>
                <c:ptCount val="5"/>
                <c:pt idx="0">
                  <c:v>0</c:v>
                </c:pt>
                <c:pt idx="1">
                  <c:v>9.7408400357462011E-2</c:v>
                </c:pt>
                <c:pt idx="2">
                  <c:v>-4.1108132260947311E-2</c:v>
                </c:pt>
                <c:pt idx="3">
                  <c:v>-9.6961572832886547E-2</c:v>
                </c:pt>
                <c:pt idx="4">
                  <c:v>7.0598748882931148E-2</c:v>
                </c:pt>
              </c:numCache>
            </c:numRef>
          </c:xVal>
          <c:yVal>
            <c:numRef>
              <c:f>'GCT_stiffness - Heart rate'!$C$11:$C$15</c:f>
              <c:numCache>
                <c:formatCode>General</c:formatCode>
                <c:ptCount val="5"/>
                <c:pt idx="0">
                  <c:v>145</c:v>
                </c:pt>
                <c:pt idx="1">
                  <c:v>157</c:v>
                </c:pt>
                <c:pt idx="2">
                  <c:v>147</c:v>
                </c:pt>
                <c:pt idx="3">
                  <c:v>155</c:v>
                </c:pt>
                <c:pt idx="4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26-4375-B0D4-0E0259C48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7416400"/>
        <c:axId val="-437406560"/>
      </c:scatterChart>
      <c:valAx>
        <c:axId val="-4374164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Ground</a:t>
                </a:r>
                <a:r>
                  <a:rPr lang="en-US" sz="1200" baseline="0"/>
                  <a:t> contact time</a:t>
                </a:r>
                <a:r>
                  <a:rPr lang="en-US" sz="1200"/>
                  <a:t> (% of preferred)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06560"/>
        <c:crosses val="autoZero"/>
        <c:crossBetween val="midCat"/>
      </c:valAx>
      <c:valAx>
        <c:axId val="-437406560"/>
        <c:scaling>
          <c:orientation val="minMax"/>
          <c:max val="190"/>
          <c:min val="1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Heart rate (bpm)</a:t>
                </a:r>
              </a:p>
            </c:rich>
          </c:tx>
          <c:layout>
            <c:manualLayout>
              <c:xMode val="edge"/>
              <c:yMode val="edge"/>
              <c:x val="1.5723270440251599E-3"/>
              <c:y val="0.381074769499965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16400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tx1"/>
      </a:solidFill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Leg stiffness </a:t>
            </a:r>
            <a:r>
              <a:rPr lang="en-US" baseline="0"/>
              <a:t>- Heart Rate relationship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478346456692897E-2"/>
          <c:y val="0.103846153846154"/>
          <c:w val="0.85455886664432901"/>
          <c:h val="0.77822595288796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'GCT_stiffness - Heart rate'!$C$11</c:f>
              <c:strCache>
                <c:ptCount val="1"/>
                <c:pt idx="0">
                  <c:v>145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9"/>
            <c:spPr>
              <a:ln w="31750">
                <a:solidFill>
                  <a:srgbClr val="FF0000"/>
                </a:solidFill>
              </a:ln>
            </c:spPr>
          </c:marker>
          <c:trendline>
            <c:spPr>
              <a:ln w="28575">
                <a:solidFill>
                  <a:schemeClr val="tx1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'GCT_stiffness - Heart rate'!$I$11:$I$15</c:f>
              <c:numCache>
                <c:formatCode>0</c:formatCode>
                <c:ptCount val="5"/>
                <c:pt idx="0">
                  <c:v>6648.6114859217723</c:v>
                </c:pt>
                <c:pt idx="1">
                  <c:v>5457.1579924337984</c:v>
                </c:pt>
                <c:pt idx="2">
                  <c:v>7267.5212176920904</c:v>
                </c:pt>
                <c:pt idx="3">
                  <c:v>8238.7540131466067</c:v>
                </c:pt>
                <c:pt idx="4">
                  <c:v>5755.476911153537</c:v>
                </c:pt>
              </c:numCache>
            </c:numRef>
          </c:xVal>
          <c:yVal>
            <c:numRef>
              <c:f>'GCT_stiffness - Heart rate'!$C$11:$C$15</c:f>
              <c:numCache>
                <c:formatCode>General</c:formatCode>
                <c:ptCount val="5"/>
                <c:pt idx="0">
                  <c:v>145</c:v>
                </c:pt>
                <c:pt idx="1">
                  <c:v>157</c:v>
                </c:pt>
                <c:pt idx="2">
                  <c:v>147</c:v>
                </c:pt>
                <c:pt idx="3">
                  <c:v>155</c:v>
                </c:pt>
                <c:pt idx="4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15-4801-8DA0-A4F1F4496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7416400"/>
        <c:axId val="-437406560"/>
      </c:scatterChart>
      <c:valAx>
        <c:axId val="-4374164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Leg stiffness (N/m)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06560"/>
        <c:crosses val="autoZero"/>
        <c:crossBetween val="midCat"/>
      </c:valAx>
      <c:valAx>
        <c:axId val="-43740656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Heart rate (bpm)</a:t>
                </a:r>
              </a:p>
            </c:rich>
          </c:tx>
          <c:layout>
            <c:manualLayout>
              <c:xMode val="edge"/>
              <c:yMode val="edge"/>
              <c:x val="1.5723270440251599E-3"/>
              <c:y val="0.381074769499965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16400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tx1"/>
      </a:solidFill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Leg stiffness </a:t>
            </a:r>
            <a:r>
              <a:rPr lang="en-US" baseline="0"/>
              <a:t>- Heart Rate relationship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478346456692897E-2"/>
          <c:y val="0.103846153846154"/>
          <c:w val="0.85455886664432901"/>
          <c:h val="0.778225952887964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'GCT_stiffness - Heart rate'!$C$7</c:f>
              <c:strCache>
                <c:ptCount val="1"/>
              </c:strCache>
            </c:strRef>
          </c:tx>
          <c:spPr>
            <a:ln w="47625">
              <a:noFill/>
            </a:ln>
          </c:spPr>
          <c:marker>
            <c:symbol val="x"/>
            <c:size val="9"/>
            <c:spPr>
              <a:ln w="31750">
                <a:solidFill>
                  <a:srgbClr val="FF0000"/>
                </a:solidFill>
              </a:ln>
            </c:spPr>
          </c:marker>
          <c:trendline>
            <c:spPr>
              <a:ln w="28575">
                <a:solidFill>
                  <a:schemeClr val="tx1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xVal>
            <c:numRef>
              <c:f>'GCT_stiffness - Heart rate'!$J$11:$J$15</c:f>
              <c:numCache>
                <c:formatCode>0.0%</c:formatCode>
                <c:ptCount val="5"/>
                <c:pt idx="0">
                  <c:v>0</c:v>
                </c:pt>
                <c:pt idx="1">
                  <c:v>-0.17920335637160323</c:v>
                </c:pt>
                <c:pt idx="2">
                  <c:v>9.3088569407437954E-2</c:v>
                </c:pt>
                <c:pt idx="3">
                  <c:v>0.23916911532459245</c:v>
                </c:pt>
                <c:pt idx="4">
                  <c:v>-0.13433399991252609</c:v>
                </c:pt>
              </c:numCache>
            </c:numRef>
          </c:xVal>
          <c:yVal>
            <c:numRef>
              <c:f>'GCT_stiffness - Heart rate'!$C$11:$C$15</c:f>
              <c:numCache>
                <c:formatCode>General</c:formatCode>
                <c:ptCount val="5"/>
                <c:pt idx="0">
                  <c:v>145</c:v>
                </c:pt>
                <c:pt idx="1">
                  <c:v>157</c:v>
                </c:pt>
                <c:pt idx="2">
                  <c:v>147</c:v>
                </c:pt>
                <c:pt idx="3">
                  <c:v>155</c:v>
                </c:pt>
                <c:pt idx="4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17-4BEA-BF52-E19F3B4E9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7416400"/>
        <c:axId val="-437406560"/>
      </c:scatterChart>
      <c:valAx>
        <c:axId val="-4374164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Leg stiffness (% of preferred)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06560"/>
        <c:crosses val="autoZero"/>
        <c:crossBetween val="midCat"/>
      </c:valAx>
      <c:valAx>
        <c:axId val="-437406560"/>
        <c:scaling>
          <c:orientation val="minMax"/>
          <c:max val="190"/>
          <c:min val="1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Heart rate (bpm)</a:t>
                </a:r>
              </a:p>
            </c:rich>
          </c:tx>
          <c:layout>
            <c:manualLayout>
              <c:xMode val="edge"/>
              <c:yMode val="edge"/>
              <c:x val="3.0281360988975613E-2"/>
              <c:y val="0.38107480450677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-437416400"/>
        <c:crosses val="autoZero"/>
        <c:crossBetween val="midCat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solidFill>
        <a:schemeClr val="tx1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5" tint="0.39997558519241921"/>
  </sheetPr>
  <sheetViews>
    <sheetView zoomScale="115" workbookViewId="0" zoomToFit="1"/>
  </sheetViews>
  <sheetProtection algorithmName="SHA-512" hashValue="BIVMyjmK55YYB8KMpBRfdfuw5LFFUPfZhsB9qFNSw7OtU3EmS1ANF6bDeO2AWKGNFOE3njfAFDSjcNOOsRyxnw==" saltValue="bCOjtagCuoaYaKs0M0o7Sg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5" tint="0.39997558519241921"/>
  </sheetPr>
  <sheetViews>
    <sheetView zoomScale="115" workbookViewId="0" zoomToFit="1"/>
  </sheetViews>
  <sheetProtection algorithmName="SHA-512" hashValue="04UrusJMaesRorhb/UFG5QJmnwGJrUVqelYqUm572d+crfF4z8ena52VOnKI0LKl3TdvK1j4RdT/ixXBGxC/Nw==" saltValue="l1I/EnUuWG8w/ryhdR18ig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>
    <tabColor theme="7" tint="0.59999389629810485"/>
  </sheetPr>
  <sheetViews>
    <sheetView zoomScale="115" workbookViewId="0" zoomToFit="1"/>
  </sheetViews>
  <sheetProtection algorithmName="SHA-512" hashValue="S4A4f0pduM3cNgdoRGvllL5iWRLz9IG0Ae9RVzUsGsCS5M14GROEmKRqrdBxysSAvw7xKWhWeIstXjZ1ZGAl+A==" saltValue="FuBbDS4whqx8jYSHfB5qpQ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>
    <tabColor theme="7" tint="0.59999389629810485"/>
  </sheetPr>
  <sheetViews>
    <sheetView zoomScale="115" workbookViewId="0" zoomToFit="1"/>
  </sheetViews>
  <sheetProtection algorithmName="SHA-512" hashValue="9z4xDDzmbxEBLdc73ZCP28OXx/k6oFThm5tpzAteBVwvljNfcR5VjUgDJf2AM2qR9FhnwLOxJ2tMDV6O361YAQ==" saltValue="+/4TvjYHkBh7xHBaYv6KaQ==" spinCount="100000"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>
    <tabColor theme="7" tint="0.59999389629810485"/>
  </sheetPr>
  <sheetViews>
    <sheetView zoomScale="115" workbookViewId="0" zoomToFit="1"/>
  </sheetViews>
  <sheetProtection algorithmName="SHA-512" hashValue="UBO7kP1sgrtJ6gXJMFh59iX9wuL/rUSJJrWvWsyCQkeoJOYZdACcj2YfnefmgJT0xweWJSePR94SeJb3xA/R2w==" saltValue="765HHeA9WRKrSpbi/86xRA==" spinCount="100000"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>
    <tabColor theme="7" tint="0.59999389629810485"/>
  </sheetPr>
  <sheetViews>
    <sheetView zoomScale="115" workbookViewId="0" zoomToFit="1"/>
  </sheetViews>
  <sheetProtection algorithmName="SHA-512" hashValue="N9fFtVcayfTDP/h0MMcj1M1341DqNpCOEfI3BQBtLaYOdRAdTMGyui+7tQhnU8W3eut90kqFQeKly+JwiUrITQ==" saltValue="1iirkc108d2omqVmcqHr6w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A1D071-61FF-D545-B85C-574FF50955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5260FB-A4C5-A446-824C-1A02AA3F15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9774" cy="60628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G23"/>
  <sheetViews>
    <sheetView zoomScaleNormal="100" workbookViewId="0">
      <selection activeCell="E22" sqref="E22"/>
    </sheetView>
  </sheetViews>
  <sheetFormatPr defaultColWidth="11.19921875" defaultRowHeight="15.6" x14ac:dyDescent="0.3"/>
  <cols>
    <col min="1" max="1" width="7.796875" customWidth="1"/>
    <col min="2" max="2" width="16.69921875" customWidth="1"/>
    <col min="3" max="3" width="26.69921875" customWidth="1"/>
    <col min="4" max="4" width="27" customWidth="1"/>
    <col min="5" max="5" width="43.796875" customWidth="1"/>
  </cols>
  <sheetData>
    <row r="1" spans="1:7" ht="25.95" customHeight="1" x14ac:dyDescent="0.3">
      <c r="A1" s="52" t="s">
        <v>41</v>
      </c>
      <c r="B1" s="53"/>
      <c r="C1" s="53"/>
      <c r="D1" s="53"/>
      <c r="E1" s="54"/>
      <c r="G1" s="6"/>
    </row>
    <row r="2" spans="1:7" ht="37.049999999999997" customHeight="1" x14ac:dyDescent="0.3">
      <c r="A2" s="55"/>
      <c r="B2" s="56"/>
      <c r="C2" s="56"/>
      <c r="D2" s="56"/>
      <c r="E2" s="57"/>
      <c r="G2" s="6"/>
    </row>
    <row r="3" spans="1:7" x14ac:dyDescent="0.3">
      <c r="A3" s="58" t="s">
        <v>40</v>
      </c>
      <c r="B3" s="58"/>
      <c r="C3" s="58"/>
      <c r="D3" s="58"/>
      <c r="E3" s="59"/>
    </row>
    <row r="4" spans="1:7" x14ac:dyDescent="0.3">
      <c r="A4" s="60"/>
      <c r="B4" s="60"/>
      <c r="C4" s="60"/>
      <c r="D4" s="60"/>
      <c r="E4" s="59"/>
      <c r="F4" s="4"/>
    </row>
    <row r="5" spans="1:7" x14ac:dyDescent="0.3">
      <c r="A5" s="46"/>
      <c r="B5" s="47"/>
      <c r="C5" s="47"/>
      <c r="D5" s="47"/>
      <c r="E5" s="1"/>
    </row>
    <row r="6" spans="1:7" ht="16.2" thickBot="1" x14ac:dyDescent="0.35">
      <c r="A6" s="38"/>
      <c r="B6" s="31"/>
      <c r="C6" s="31"/>
      <c r="D6" s="31"/>
      <c r="E6" s="2"/>
    </row>
    <row r="7" spans="1:7" ht="43.05" customHeight="1" thickBot="1" x14ac:dyDescent="0.35">
      <c r="A7" s="38"/>
      <c r="B7" s="48" t="s">
        <v>1</v>
      </c>
      <c r="C7" s="51" t="s">
        <v>0</v>
      </c>
      <c r="D7" s="51" t="s">
        <v>13</v>
      </c>
      <c r="E7" s="33" t="s">
        <v>14</v>
      </c>
    </row>
    <row r="8" spans="1:7" x14ac:dyDescent="0.3">
      <c r="A8" s="38"/>
      <c r="B8" s="49" t="s">
        <v>3</v>
      </c>
      <c r="C8" s="71">
        <v>145</v>
      </c>
      <c r="D8" s="71">
        <v>170</v>
      </c>
      <c r="E8" s="34">
        <v>0</v>
      </c>
    </row>
    <row r="9" spans="1:7" x14ac:dyDescent="0.3">
      <c r="A9" s="38"/>
      <c r="B9" s="49" t="s">
        <v>17</v>
      </c>
      <c r="C9" s="71">
        <v>147</v>
      </c>
      <c r="D9" s="71">
        <v>160</v>
      </c>
      <c r="E9" s="35">
        <f>(D9-D$8)/D$8</f>
        <v>-5.8823529411764705E-2</v>
      </c>
    </row>
    <row r="10" spans="1:7" x14ac:dyDescent="0.3">
      <c r="A10" s="38"/>
      <c r="B10" s="49" t="s">
        <v>18</v>
      </c>
      <c r="C10" s="71">
        <v>159</v>
      </c>
      <c r="D10" s="71">
        <v>150</v>
      </c>
      <c r="E10" s="35">
        <f>(D10-D$8)/D$8</f>
        <v>-0.11764705882352941</v>
      </c>
    </row>
    <row r="11" spans="1:7" x14ac:dyDescent="0.3">
      <c r="A11" s="38"/>
      <c r="B11" s="49" t="s">
        <v>19</v>
      </c>
      <c r="C11" s="71">
        <v>149</v>
      </c>
      <c r="D11" s="71">
        <v>180</v>
      </c>
      <c r="E11" s="35">
        <f>(D11-D$8)/D$8</f>
        <v>5.8823529411764705E-2</v>
      </c>
    </row>
    <row r="12" spans="1:7" ht="16.2" thickBot="1" x14ac:dyDescent="0.35">
      <c r="A12" s="38"/>
      <c r="B12" s="50" t="s">
        <v>20</v>
      </c>
      <c r="C12" s="72">
        <v>155</v>
      </c>
      <c r="D12" s="72">
        <v>190</v>
      </c>
      <c r="E12" s="36">
        <f>(D12-D$8)/D$8</f>
        <v>0.11764705882352941</v>
      </c>
    </row>
    <row r="13" spans="1:7" x14ac:dyDescent="0.3">
      <c r="A13" s="38"/>
      <c r="B13" s="31"/>
      <c r="C13" s="31"/>
      <c r="D13" s="31"/>
      <c r="E13" s="2"/>
    </row>
    <row r="14" spans="1:7" ht="16.2" thickBot="1" x14ac:dyDescent="0.35">
      <c r="A14" s="38"/>
      <c r="B14" s="31"/>
      <c r="C14" s="31"/>
      <c r="D14" s="31"/>
      <c r="E14" s="2"/>
    </row>
    <row r="15" spans="1:7" ht="18.600000000000001" thickBot="1" x14ac:dyDescent="0.35">
      <c r="A15" s="38"/>
      <c r="B15" s="31"/>
      <c r="C15" s="39" t="s">
        <v>12</v>
      </c>
      <c r="D15" s="26">
        <f>MIN(PredictedHR)</f>
        <v>144.97333333333336</v>
      </c>
      <c r="E15" s="37"/>
    </row>
    <row r="16" spans="1:7" ht="18.600000000000001" thickBot="1" x14ac:dyDescent="0.35">
      <c r="A16" s="38"/>
      <c r="B16" s="31"/>
      <c r="C16" s="39" t="s">
        <v>15</v>
      </c>
      <c r="D16" s="28">
        <f>INDEX(PredictedCadence,MATCH(OptimalHR,PredictedHR,0))</f>
        <v>171.33333333333303</v>
      </c>
      <c r="E16" s="37"/>
    </row>
    <row r="17" spans="1:5" ht="18.600000000000001" thickBot="1" x14ac:dyDescent="0.4">
      <c r="A17" s="38"/>
      <c r="B17" s="31"/>
      <c r="C17" s="40" t="s">
        <v>16</v>
      </c>
      <c r="D17" s="29">
        <f>ABS((OptimalCadence-PreferredCadence))/PreferredCadence</f>
        <v>7.8431372549001774E-3</v>
      </c>
      <c r="E17" s="30" t="str">
        <f>IF(OptimalCadence-PreferredCadence&lt;0,"Shorter than your preferred",IF(OptimalCadence-PreferredCadence&gt;0,"Longer than your preferred","Which means your optimal is your chosen cadence!"))</f>
        <v>Longer than your preferred</v>
      </c>
    </row>
    <row r="18" spans="1:5" x14ac:dyDescent="0.3">
      <c r="A18" s="41"/>
      <c r="B18" s="42"/>
      <c r="C18" s="42"/>
      <c r="D18" s="43"/>
      <c r="E18" s="3"/>
    </row>
    <row r="19" spans="1:5" x14ac:dyDescent="0.3">
      <c r="A19" s="44" t="s">
        <v>2</v>
      </c>
      <c r="B19" s="45"/>
      <c r="C19" s="45"/>
      <c r="D19" s="45"/>
    </row>
    <row r="22" spans="1:5" x14ac:dyDescent="0.3">
      <c r="C22" s="7"/>
    </row>
    <row r="23" spans="1:5" x14ac:dyDescent="0.3">
      <c r="C23" s="7"/>
    </row>
  </sheetData>
  <sheetProtection algorithmName="SHA-512" hashValue="0vxMJ0MKBmngAdA298liAwFs9lsu35w6INX6K3PKDmmCtylfIjc2l+eiI7zjUBqawBNpMhHxIbZX0ko5jYiyPQ==" saltValue="DEKReNfCsYFMTvjCgJL2TA==" spinCount="100000" sheet="1" objects="1" scenarios="1"/>
  <mergeCells count="2">
    <mergeCell ref="A3:D3"/>
    <mergeCell ref="A1:E2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</sheetPr>
  <dimension ref="A1:J22"/>
  <sheetViews>
    <sheetView tabSelected="1" workbookViewId="0">
      <selection activeCell="D26" sqref="D26"/>
    </sheetView>
  </sheetViews>
  <sheetFormatPr defaultRowHeight="15.6" x14ac:dyDescent="0.3"/>
  <cols>
    <col min="1" max="1" width="14.8984375" customWidth="1"/>
    <col min="2" max="2" width="20.3984375" customWidth="1"/>
    <col min="3" max="3" width="32.796875" customWidth="1"/>
    <col min="4" max="4" width="24.5" customWidth="1"/>
    <col min="5" max="5" width="24.09765625" customWidth="1"/>
    <col min="6" max="6" width="14.19921875" customWidth="1"/>
    <col min="7" max="7" width="16.296875" customWidth="1"/>
    <col min="8" max="8" width="25.19921875" customWidth="1"/>
    <col min="9" max="9" width="13.3984375" customWidth="1"/>
    <col min="10" max="10" width="25.09765625" customWidth="1"/>
  </cols>
  <sheetData>
    <row r="1" spans="1:10" ht="37.200000000000003" customHeight="1" x14ac:dyDescent="0.3">
      <c r="A1" s="52" t="s">
        <v>42</v>
      </c>
      <c r="B1" s="53"/>
      <c r="C1" s="53"/>
      <c r="D1" s="53"/>
      <c r="E1" s="54"/>
    </row>
    <row r="2" spans="1:10" ht="39.6" customHeight="1" x14ac:dyDescent="0.3">
      <c r="A2" s="55"/>
      <c r="B2" s="56"/>
      <c r="C2" s="56"/>
      <c r="D2" s="56"/>
      <c r="E2" s="57"/>
    </row>
    <row r="3" spans="1:10" x14ac:dyDescent="0.3">
      <c r="A3" s="58" t="s">
        <v>40</v>
      </c>
      <c r="B3" s="58"/>
      <c r="C3" s="58"/>
      <c r="D3" s="58"/>
      <c r="E3" s="59"/>
    </row>
    <row r="4" spans="1:10" ht="16.2" thickBot="1" x14ac:dyDescent="0.35">
      <c r="A4" s="70"/>
      <c r="B4" s="60"/>
      <c r="C4" s="60"/>
      <c r="D4" s="60"/>
      <c r="E4" s="59"/>
    </row>
    <row r="5" spans="1:10" ht="18.600000000000001" thickBot="1" x14ac:dyDescent="0.35">
      <c r="A5" s="13" t="s">
        <v>24</v>
      </c>
      <c r="B5" s="13" t="s">
        <v>23</v>
      </c>
      <c r="C5" s="13" t="s">
        <v>25</v>
      </c>
      <c r="D5" s="13" t="s">
        <v>26</v>
      </c>
      <c r="E5" s="45"/>
    </row>
    <row r="6" spans="1:10" ht="16.2" thickBot="1" x14ac:dyDescent="0.35">
      <c r="A6" s="73">
        <v>55</v>
      </c>
      <c r="B6" s="74">
        <v>1.7</v>
      </c>
      <c r="C6" s="75">
        <v>3</v>
      </c>
      <c r="D6" s="14">
        <f>Height*0.53</f>
        <v>0.90100000000000002</v>
      </c>
    </row>
    <row r="7" spans="1:10" ht="16.2" thickBot="1" x14ac:dyDescent="0.35">
      <c r="A7" s="5"/>
      <c r="B7" s="60"/>
      <c r="C7" s="60"/>
      <c r="D7" s="60"/>
      <c r="E7" s="59"/>
      <c r="F7" s="45"/>
      <c r="G7" s="45"/>
      <c r="H7" s="45"/>
      <c r="I7" s="45"/>
      <c r="J7" s="45"/>
    </row>
    <row r="8" spans="1:10" x14ac:dyDescent="0.3">
      <c r="A8" s="61"/>
      <c r="B8" s="62"/>
      <c r="C8" s="62"/>
      <c r="D8" s="62"/>
      <c r="E8" s="62"/>
      <c r="F8" s="62"/>
      <c r="G8" s="62"/>
      <c r="H8" s="62"/>
      <c r="I8" s="62"/>
      <c r="J8" s="68"/>
    </row>
    <row r="9" spans="1:10" ht="16.2" thickBot="1" x14ac:dyDescent="0.35">
      <c r="A9" s="63"/>
      <c r="B9" s="31"/>
      <c r="C9" s="31"/>
      <c r="D9" s="31"/>
      <c r="E9" s="31"/>
      <c r="F9" s="31"/>
      <c r="G9" s="31"/>
      <c r="H9" s="31"/>
      <c r="I9" s="31"/>
      <c r="J9" s="27"/>
    </row>
    <row r="10" spans="1:10" ht="72.599999999999994" thickBot="1" x14ac:dyDescent="0.35">
      <c r="A10" s="63"/>
      <c r="B10" s="48" t="s">
        <v>1</v>
      </c>
      <c r="C10" s="51" t="s">
        <v>0</v>
      </c>
      <c r="D10" s="51" t="s">
        <v>21</v>
      </c>
      <c r="E10" s="69" t="s">
        <v>22</v>
      </c>
      <c r="F10" s="15" t="s">
        <v>28</v>
      </c>
      <c r="G10" s="16" t="s">
        <v>27</v>
      </c>
      <c r="H10" s="16" t="s">
        <v>39</v>
      </c>
      <c r="I10" s="16" t="s">
        <v>38</v>
      </c>
      <c r="J10" s="15" t="s">
        <v>37</v>
      </c>
    </row>
    <row r="11" spans="1:10" x14ac:dyDescent="0.3">
      <c r="A11" s="63"/>
      <c r="B11" s="49" t="s">
        <v>3</v>
      </c>
      <c r="C11" s="71">
        <v>145</v>
      </c>
      <c r="D11" s="76">
        <v>0.27975</v>
      </c>
      <c r="E11" s="77">
        <v>0.12862499999999999</v>
      </c>
      <c r="F11" s="17">
        <v>0</v>
      </c>
      <c r="G11" s="18">
        <f>BodyMass*9.81*(PI()/2)*((Aerial1/Contact1)+1)</f>
        <v>1237.2020364545056</v>
      </c>
      <c r="H11" s="19">
        <f>(PeakForce1*Contact1^2)/(BodyMass*PI()^2)-9.81*((Contact1^2)/8)</f>
        <v>8.2402189371944268E-2</v>
      </c>
      <c r="I11" s="18">
        <f>PeakForce1/(EstimatedLegLength-SQRT((EstimatedLegLength^2)-(((RunningVelocity*Contact1)/2)^2))+deltaCOM1)</f>
        <v>6648.6114859217723</v>
      </c>
      <c r="J11" s="17">
        <v>0</v>
      </c>
    </row>
    <row r="12" spans="1:10" x14ac:dyDescent="0.3">
      <c r="A12" s="63"/>
      <c r="B12" s="49" t="s">
        <v>46</v>
      </c>
      <c r="C12" s="71">
        <v>157</v>
      </c>
      <c r="D12" s="76">
        <v>0.307</v>
      </c>
      <c r="E12" s="77">
        <v>0.107125</v>
      </c>
      <c r="F12" s="20">
        <f>(D12-D$11)/D$11</f>
        <v>9.7408400357462011E-2</v>
      </c>
      <c r="G12" s="21">
        <f>BodyMass*9.81*(PI()/2)*((Aerial2/Contact2)+1)</f>
        <v>1143.2590483952786</v>
      </c>
      <c r="H12" s="22">
        <f>(PeakForce2*Contact2^2)/(BodyMass*PI()^2)-9.81*((Contact2^2)/8)</f>
        <v>8.2926456350022049E-2</v>
      </c>
      <c r="I12" s="21">
        <f>PeakForce2/(EstimatedLegLength-SQRT((EstimatedLegLength^2)-(((RunningVelocity*Contact2)/2)^2))+deltaCOM2)</f>
        <v>5457.1579924337984</v>
      </c>
      <c r="J12" s="20">
        <f>(I12-I$11)/I$11</f>
        <v>-0.17920335637160323</v>
      </c>
    </row>
    <row r="13" spans="1:10" x14ac:dyDescent="0.3">
      <c r="A13" s="63"/>
      <c r="B13" s="49" t="s">
        <v>47</v>
      </c>
      <c r="C13" s="71">
        <v>147</v>
      </c>
      <c r="D13" s="76">
        <v>0.26824999999999999</v>
      </c>
      <c r="E13" s="77">
        <v>0.14649999999999999</v>
      </c>
      <c r="F13" s="20">
        <f t="shared" ref="F13:F14" si="0">(D13-D$11)/D$11</f>
        <v>-4.1108132260947311E-2</v>
      </c>
      <c r="G13" s="21">
        <f>BodyMass*9.81*(PI()/2)*((Aerial3/Contact3)+1)</f>
        <v>1310.3829630239586</v>
      </c>
      <c r="H13" s="22">
        <f>(PeakForce3*Contact3^2)/(BodyMass*PI()^2)-9.81*((Contact3^2)/8)</f>
        <v>8.5467603700073336E-2</v>
      </c>
      <c r="I13" s="21">
        <f>PeakForce3/(EstimatedLegLength-SQRT((EstimatedLegLength^2)-(((RunningVelocity*Contact3)/2)^2))+deltaCOM3)</f>
        <v>7267.5212176920904</v>
      </c>
      <c r="J13" s="20">
        <f t="shared" ref="J13:J14" si="1">(I13-I$11)/I$11</f>
        <v>9.3088569407437954E-2</v>
      </c>
    </row>
    <row r="14" spans="1:10" x14ac:dyDescent="0.3">
      <c r="A14" s="63"/>
      <c r="B14" s="49" t="s">
        <v>48</v>
      </c>
      <c r="C14" s="71">
        <v>155</v>
      </c>
      <c r="D14" s="76">
        <v>0.25262499999999999</v>
      </c>
      <c r="E14" s="77">
        <v>0.16225000000000001</v>
      </c>
      <c r="F14" s="20">
        <f t="shared" si="0"/>
        <v>-9.6961572832886547E-2</v>
      </c>
      <c r="G14" s="21">
        <f>BodyMass*9.81*(PI()/2)*((Aerial4/Contact4)+1)</f>
        <v>1391.8502532446994</v>
      </c>
      <c r="H14" s="22">
        <f>(PeakForce4*Contact4^2)/(BodyMass*PI()^2)-9.81*((Contact4^2)/8)</f>
        <v>8.5378932718396069E-2</v>
      </c>
      <c r="I14" s="21">
        <f>PeakForce4/(EstimatedLegLength-SQRT((EstimatedLegLength^2)-(((RunningVelocity*Contact4)/2)^2))+deltaCOM4)</f>
        <v>8238.7540131466067</v>
      </c>
      <c r="J14" s="20">
        <f t="shared" si="1"/>
        <v>0.23916911532459245</v>
      </c>
    </row>
    <row r="15" spans="1:10" ht="16.2" thickBot="1" x14ac:dyDescent="0.35">
      <c r="A15" s="63"/>
      <c r="B15" s="50" t="s">
        <v>49</v>
      </c>
      <c r="C15" s="72">
        <v>162</v>
      </c>
      <c r="D15" s="78">
        <v>0.29949999999999999</v>
      </c>
      <c r="E15" s="79">
        <v>0.11600000000000001</v>
      </c>
      <c r="F15" s="23">
        <f>(D15-D$11)/D$11</f>
        <v>7.0598748882931148E-2</v>
      </c>
      <c r="G15" s="24">
        <f>BodyMass*9.81*(PI()/2)*((Aerial5/Contact5)+1)</f>
        <v>1175.7792060092438</v>
      </c>
      <c r="H15" s="25">
        <f>(PeakForce5*Contact5^2)/(BodyMass*PI()^2)-9.81*((Contact5^2)/8)</f>
        <v>8.4297996756048418E-2</v>
      </c>
      <c r="I15" s="24">
        <f>PeakForce5/(EstimatedLegLength-SQRT((EstimatedLegLength^2)-(((RunningVelocity*Contact5)/2)^2))+deltaCOM5)</f>
        <v>5755.476911153537</v>
      </c>
      <c r="J15" s="23">
        <f>(I15-I$11)/I$11</f>
        <v>-0.13433399991252609</v>
      </c>
    </row>
    <row r="16" spans="1:10" x14ac:dyDescent="0.3">
      <c r="A16" s="63"/>
      <c r="B16" s="31"/>
      <c r="C16" s="31"/>
      <c r="D16" s="31"/>
      <c r="E16" s="31"/>
      <c r="F16" s="31"/>
      <c r="G16" s="31"/>
      <c r="H16" s="31"/>
      <c r="I16" s="31"/>
      <c r="J16" s="27"/>
    </row>
    <row r="17" spans="1:10" ht="16.2" thickBot="1" x14ac:dyDescent="0.35">
      <c r="A17" s="63"/>
      <c r="B17" s="31"/>
      <c r="C17" s="31"/>
      <c r="D17" s="31"/>
      <c r="E17" s="31"/>
      <c r="F17" s="31"/>
      <c r="G17" s="31"/>
      <c r="H17" s="31"/>
      <c r="I17" s="31"/>
      <c r="J17" s="27"/>
    </row>
    <row r="18" spans="1:10" ht="18.600000000000001" thickBot="1" x14ac:dyDescent="0.35">
      <c r="A18" s="63"/>
      <c r="B18" s="31"/>
      <c r="C18" s="39" t="s">
        <v>12</v>
      </c>
      <c r="D18" s="26">
        <f>MIN(PredictedHR_GCT)</f>
        <v>147.17325194707405</v>
      </c>
      <c r="E18" s="31"/>
      <c r="F18" s="31"/>
      <c r="G18" s="31"/>
      <c r="H18" s="39" t="s">
        <v>12</v>
      </c>
      <c r="I18" s="26">
        <f>MIN(PredictedHR_Kleg)</f>
        <v>146.56796700410354</v>
      </c>
      <c r="J18" s="27"/>
    </row>
    <row r="19" spans="1:10" ht="18.600000000000001" thickBot="1" x14ac:dyDescent="0.35">
      <c r="A19" s="63"/>
      <c r="B19" s="31"/>
      <c r="C19" s="39" t="s">
        <v>29</v>
      </c>
      <c r="D19" s="32">
        <f>INDEX(PredictedGCT,MATCH(OptimalHR_GCT,PredictedHR_GCT,0))</f>
        <v>0.27528124999999992</v>
      </c>
      <c r="E19" s="31"/>
      <c r="F19" s="31"/>
      <c r="G19" s="31"/>
      <c r="H19" s="39" t="s">
        <v>32</v>
      </c>
      <c r="I19" s="28">
        <f>INDEX(PredictedKleg,MATCH(OptimalHR_Kleg,PredictedHR_Kleg,0))</f>
        <v>7033.3957375043774</v>
      </c>
      <c r="J19" s="27"/>
    </row>
    <row r="20" spans="1:10" ht="18.600000000000001" thickBot="1" x14ac:dyDescent="0.4">
      <c r="A20" s="63"/>
      <c r="B20" s="31"/>
      <c r="C20" s="40" t="s">
        <v>30</v>
      </c>
      <c r="D20" s="29">
        <f>ABS((OptimalGCT-Contact1))/Contact1</f>
        <v>1.5974084003574893E-2</v>
      </c>
      <c r="E20" s="30" t="str">
        <f>IF(OptimalGCT-Contact1&lt;0,"Shorter than your preferred",IF(OptimalGCT-Contact1&gt;0,"Longer than your preferred","Which means your optimal is your chosen cadence!"))</f>
        <v>Shorter than your preferred</v>
      </c>
      <c r="F20" s="31"/>
      <c r="G20" s="31"/>
      <c r="H20" s="40" t="s">
        <v>33</v>
      </c>
      <c r="I20" s="29">
        <f>ABS((OptimalKleg-LegStiffness1))/LegStiffness1</f>
        <v>5.7874377589572458E-2</v>
      </c>
      <c r="J20" s="30" t="str">
        <f>IF(OptimalKleg-LegStiffness1&lt;0,"Lower than your preferred",IF(OptimalKleg-LegStiffness1&gt;0,"Higher than your preferred","Which means your optimal is your chosen cadence!"))</f>
        <v>Higher than your preferred</v>
      </c>
    </row>
    <row r="21" spans="1:10" ht="16.2" thickBot="1" x14ac:dyDescent="0.35">
      <c r="A21" s="64"/>
      <c r="B21" s="65"/>
      <c r="C21" s="65"/>
      <c r="D21" s="66"/>
      <c r="E21" s="65"/>
      <c r="F21" s="65"/>
      <c r="G21" s="65"/>
      <c r="H21" s="65"/>
      <c r="I21" s="65"/>
      <c r="J21" s="67"/>
    </row>
    <row r="22" spans="1:10" x14ac:dyDescent="0.3">
      <c r="A22" s="44" t="s">
        <v>2</v>
      </c>
      <c r="B22" s="45"/>
    </row>
  </sheetData>
  <sheetProtection algorithmName="SHA-512" hashValue="GOfEGihbi+FFyutCJ1hzg8v9NQVRO5ztLiSg/qwxut3Ttc/qWiGbP33Gf/0SAuNP5PqPOFF+N63DR49v8lwmSw==" saltValue="2xrWTdlVgOPAP+e/m1kCZQ==" spinCount="100000" sheet="1" objects="1" scenarios="1"/>
  <mergeCells count="2">
    <mergeCell ref="A1:E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M70"/>
  <sheetViews>
    <sheetView zoomScale="69" workbookViewId="0">
      <selection activeCell="O23" sqref="O23"/>
    </sheetView>
  </sheetViews>
  <sheetFormatPr defaultRowHeight="15.6" x14ac:dyDescent="0.3"/>
  <cols>
    <col min="1" max="1" width="16" customWidth="1"/>
    <col min="2" max="2" width="13.69921875" style="8" customWidth="1"/>
    <col min="3" max="3" width="30.5" style="8" bestFit="1" customWidth="1"/>
    <col min="6" max="6" width="16" customWidth="1"/>
    <col min="7" max="7" width="13.69921875" style="8" customWidth="1"/>
    <col min="8" max="8" width="30.5" style="8" bestFit="1" customWidth="1"/>
    <col min="11" max="11" width="16" customWidth="1"/>
    <col min="12" max="12" width="13.69921875" style="8" customWidth="1"/>
    <col min="13" max="13" width="30.5" style="8" bestFit="1" customWidth="1"/>
  </cols>
  <sheetData>
    <row r="1" spans="1:13" ht="16.2" thickBot="1" x14ac:dyDescent="0.35">
      <c r="A1" s="10"/>
      <c r="B1" s="11" t="s">
        <v>4</v>
      </c>
      <c r="F1" s="10"/>
      <c r="G1" s="11" t="s">
        <v>35</v>
      </c>
      <c r="K1" s="10"/>
      <c r="L1" s="11" t="s">
        <v>45</v>
      </c>
    </row>
    <row r="2" spans="1:13" ht="16.2" thickBot="1" x14ac:dyDescent="0.35">
      <c r="A2" s="10" t="s">
        <v>7</v>
      </c>
      <c r="B2" s="12">
        <f>INDEX(LINEST(ActualHR,ActualCadence^{1,2}),1)</f>
        <v>3.0000000000000041E-2</v>
      </c>
      <c r="F2" s="10" t="s">
        <v>7</v>
      </c>
      <c r="G2" s="12">
        <f>INDEX(LINEST(ActualHR_GCTdata,ActualGCT^{1,2}),1)</f>
        <v>13762.255115661865</v>
      </c>
      <c r="K2" s="10" t="s">
        <v>7</v>
      </c>
      <c r="L2" s="12">
        <f>INDEX(LINEST(ActualHR_GCTdata,ActualKleg^{1,2}),1)</f>
        <v>5.6999781561531923E-6</v>
      </c>
    </row>
    <row r="3" spans="1:13" ht="16.2" thickBot="1" x14ac:dyDescent="0.35">
      <c r="A3" s="10" t="s">
        <v>8</v>
      </c>
      <c r="B3" s="12">
        <f>INDEX(LINEST(ActualHR,ActualCadence^{1,2}),1,2)</f>
        <v>-10.260000000000016</v>
      </c>
      <c r="F3" s="10" t="s">
        <v>8</v>
      </c>
      <c r="G3" s="12">
        <f>INDEX(LINEST(ActualHR_GCTdata,ActualGCT^{1,2}),1,2)</f>
        <v>-7570.5963961315338</v>
      </c>
      <c r="K3" s="10" t="s">
        <v>8</v>
      </c>
      <c r="L3" s="12">
        <f>INDEX(LINEST(ActualHR_GCTdata,ActualKleg^{1,2}),1,2)</f>
        <v>-8.0320510402624487E-2</v>
      </c>
    </row>
    <row r="4" spans="1:13" ht="16.2" thickBot="1" x14ac:dyDescent="0.35">
      <c r="A4" s="10" t="s">
        <v>6</v>
      </c>
      <c r="B4" s="12">
        <f>INDEX(LINEST(ActualHR,ActualCadence^{1,2}),1,3)</f>
        <v>1022.2000000000016</v>
      </c>
      <c r="F4" s="10" t="s">
        <v>6</v>
      </c>
      <c r="G4" s="12">
        <f>INDEX(LINEST(ActualHR_GCTdata,ActualGCT^{1,2}),1,3)</f>
        <v>1188.3160105436421</v>
      </c>
      <c r="K4" s="10" t="s">
        <v>6</v>
      </c>
      <c r="L4" s="12">
        <f>INDEX(LINEST(ActualHR_GCTdata,ActualKleg^{1,2}),1,3)</f>
        <v>429.52364616786821</v>
      </c>
    </row>
    <row r="7" spans="1:13" x14ac:dyDescent="0.3">
      <c r="A7" t="s">
        <v>10</v>
      </c>
      <c r="B7" s="8">
        <f>(MAX(ActualCadence)-MIN(ActualCadence))/60</f>
        <v>0.66666666666666663</v>
      </c>
      <c r="C7" s="8" t="s">
        <v>11</v>
      </c>
      <c r="F7" t="s">
        <v>34</v>
      </c>
      <c r="G7" s="8">
        <f>(MAX(ActualGCT)-MIN(ActualGCT))/60</f>
        <v>9.0625000000000015E-4</v>
      </c>
      <c r="H7" s="8" t="s">
        <v>36</v>
      </c>
      <c r="K7" t="s">
        <v>44</v>
      </c>
      <c r="L7" s="8">
        <f>(MAX(ActualKleg)-MIN(ActualKleg))/60</f>
        <v>46.359933678546803</v>
      </c>
      <c r="M7" s="8" t="s">
        <v>36</v>
      </c>
    </row>
    <row r="9" spans="1:13" x14ac:dyDescent="0.3">
      <c r="B9" s="9" t="s">
        <v>5</v>
      </c>
      <c r="C9" s="9" t="s">
        <v>9</v>
      </c>
      <c r="G9" s="9" t="s">
        <v>31</v>
      </c>
      <c r="H9" s="9" t="s">
        <v>9</v>
      </c>
      <c r="L9" s="9" t="s">
        <v>43</v>
      </c>
      <c r="M9" s="9" t="s">
        <v>9</v>
      </c>
    </row>
    <row r="10" spans="1:13" x14ac:dyDescent="0.3">
      <c r="B10" s="8">
        <f>MIN(ActualCadence)</f>
        <v>150</v>
      </c>
      <c r="C10" s="8">
        <f>(SecondOrderC1*B10^2)+(SecondOrderC2*B10)+constant</f>
        <v>158.20000000000027</v>
      </c>
      <c r="G10" s="8">
        <f>MIN(ActualGCT)</f>
        <v>0.25262499999999999</v>
      </c>
      <c r="H10" s="8">
        <f>(SecondOrderC1_GCT*G10^2)+(SecondOrderC2_GCT*G10)+constant_GCT</f>
        <v>154.09283107824263</v>
      </c>
      <c r="L10" s="8">
        <f>MIN(ActualKleg)</f>
        <v>5457.1579924337984</v>
      </c>
      <c r="M10" s="8">
        <f>(SecondOrderC1_Kleg*L10^2)+(SecondOrderC2_Kleg*L10)+constant_Kleg</f>
        <v>160.95054846553103</v>
      </c>
    </row>
    <row r="11" spans="1:13" x14ac:dyDescent="0.3">
      <c r="B11" s="8">
        <f>B10+B7</f>
        <v>150.66666666666666</v>
      </c>
      <c r="C11" s="8">
        <f t="shared" ref="C11:C41" si="0">(SecondOrderC1*B11^2)+(SecondOrderC2*B11)+constant</f>
        <v>157.37333333333356</v>
      </c>
      <c r="G11" s="8">
        <f>G10+G7</f>
        <v>0.25353124999999999</v>
      </c>
      <c r="H11" s="8">
        <f>(SecondOrderC1_GCT*G11^2)+(SecondOrderC2_GCT*G11)+constant_GCT</f>
        <v>153.54478096255184</v>
      </c>
      <c r="L11" s="8">
        <f>L10+L7</f>
        <v>5503.5179261123449</v>
      </c>
      <c r="M11" s="8">
        <f>(SecondOrderC1_Kleg*L11^2)+(SecondOrderC2_Kleg*L11)+constant_Kleg</f>
        <v>160.12326021992715</v>
      </c>
    </row>
    <row r="12" spans="1:13" x14ac:dyDescent="0.3">
      <c r="B12" s="8">
        <f>B11+B$7</f>
        <v>151.33333333333331</v>
      </c>
      <c r="C12" s="8">
        <f t="shared" si="0"/>
        <v>156.57333333333372</v>
      </c>
      <c r="G12" s="8">
        <f>G11+G$7</f>
        <v>0.25443749999999998</v>
      </c>
      <c r="H12" s="8">
        <f>(SecondOrderC1_GCT*G12^2)+(SecondOrderC2_GCT*G12)+constant_GCT</f>
        <v>153.01933642606468</v>
      </c>
      <c r="L12" s="8">
        <f>L11+L$7</f>
        <v>5549.8778597908913</v>
      </c>
      <c r="M12" s="8">
        <f>(SecondOrderC1_Kleg*L12^2)+(SecondOrderC2_Kleg*L12)+constant_Kleg</f>
        <v>159.32047325576553</v>
      </c>
    </row>
    <row r="13" spans="1:13" x14ac:dyDescent="0.3">
      <c r="B13" s="8">
        <f t="shared" ref="B13:B70" si="1">B12+B$7</f>
        <v>151.99999999999997</v>
      </c>
      <c r="C13" s="8">
        <f t="shared" si="0"/>
        <v>155.8000000000003</v>
      </c>
      <c r="G13" s="8">
        <f>G12+G$7</f>
        <v>0.25534374999999998</v>
      </c>
      <c r="H13" s="8">
        <f>(SecondOrderC1_GCT*G13^2)+(SecondOrderC2_GCT*G13)+constant_GCT</f>
        <v>152.51649746878161</v>
      </c>
      <c r="L13" s="8">
        <f>L12+L$7</f>
        <v>5596.2377934694377</v>
      </c>
      <c r="M13" s="8">
        <f>(SecondOrderC1_Kleg*L13^2)+(SecondOrderC2_Kleg*L13)+constant_Kleg</f>
        <v>158.54218757304614</v>
      </c>
    </row>
    <row r="14" spans="1:13" x14ac:dyDescent="0.3">
      <c r="B14" s="8">
        <f t="shared" si="1"/>
        <v>152.66666666666663</v>
      </c>
      <c r="C14" s="8">
        <f t="shared" si="0"/>
        <v>155.05333333333363</v>
      </c>
      <c r="G14" s="8">
        <f>G13+G$7</f>
        <v>0.25624999999999998</v>
      </c>
      <c r="H14" s="8">
        <f>(SecondOrderC1_GCT*G14^2)+(SecondOrderC2_GCT*G14)+constant_GCT</f>
        <v>152.03626409070216</v>
      </c>
      <c r="L14" s="8">
        <f>L13+L$7</f>
        <v>5642.5977271479842</v>
      </c>
      <c r="M14" s="8">
        <f>(SecondOrderC1_Kleg*L14^2)+(SecondOrderC2_Kleg*L14)+constant_Kleg</f>
        <v>157.78840317176906</v>
      </c>
    </row>
    <row r="15" spans="1:13" x14ac:dyDescent="0.3">
      <c r="B15" s="8">
        <f t="shared" si="1"/>
        <v>153.33333333333329</v>
      </c>
      <c r="C15" s="8">
        <f t="shared" si="0"/>
        <v>154.3333333333336</v>
      </c>
      <c r="G15" s="8">
        <f>G14+G$7</f>
        <v>0.25715624999999998</v>
      </c>
      <c r="H15" s="8">
        <f>(SecondOrderC1_GCT*G15^2)+(SecondOrderC2_GCT*G15)+constant_GCT</f>
        <v>151.57863629182589</v>
      </c>
      <c r="L15" s="8">
        <f>L14+L$7</f>
        <v>5688.9576608265306</v>
      </c>
      <c r="M15" s="8">
        <f>(SecondOrderC1_Kleg*L15^2)+(SecondOrderC2_Kleg*L15)+constant_Kleg</f>
        <v>157.05912005193414</v>
      </c>
    </row>
    <row r="16" spans="1:13" x14ac:dyDescent="0.3">
      <c r="B16" s="8">
        <f t="shared" si="1"/>
        <v>153.99999999999994</v>
      </c>
      <c r="C16" s="8">
        <f t="shared" si="0"/>
        <v>153.64000000000021</v>
      </c>
      <c r="G16" s="8">
        <f>G15+G$7</f>
        <v>0.25806249999999997</v>
      </c>
      <c r="H16" s="8">
        <f>(SecondOrderC1_GCT*G16^2)+(SecondOrderC2_GCT*G16)+constant_GCT</f>
        <v>151.1436140721537</v>
      </c>
      <c r="L16" s="8">
        <f>L15+L$7</f>
        <v>5735.3175945050771</v>
      </c>
      <c r="M16" s="8">
        <f>(SecondOrderC1_Kleg*L16^2)+(SecondOrderC2_Kleg*L16)+constant_Kleg</f>
        <v>156.35433821354155</v>
      </c>
    </row>
    <row r="17" spans="2:13" x14ac:dyDescent="0.3">
      <c r="B17" s="8">
        <f t="shared" si="1"/>
        <v>154.6666666666666</v>
      </c>
      <c r="C17" s="8">
        <f t="shared" si="0"/>
        <v>152.97333333333358</v>
      </c>
      <c r="G17" s="8">
        <f>G16+G$7</f>
        <v>0.25896874999999997</v>
      </c>
      <c r="H17" s="8">
        <f>(SecondOrderC1_GCT*G17^2)+(SecondOrderC2_GCT*G17)+constant_GCT</f>
        <v>150.73119743168513</v>
      </c>
      <c r="L17" s="8">
        <f>L16+L$7</f>
        <v>5781.6775281836235</v>
      </c>
      <c r="M17" s="8">
        <f>(SecondOrderC1_Kleg*L17^2)+(SecondOrderC2_Kleg*L17)+constant_Kleg</f>
        <v>155.67405765659117</v>
      </c>
    </row>
    <row r="18" spans="2:13" x14ac:dyDescent="0.3">
      <c r="B18" s="8">
        <f t="shared" si="1"/>
        <v>155.33333333333326</v>
      </c>
      <c r="C18" s="8">
        <f t="shared" si="0"/>
        <v>152.3333333333336</v>
      </c>
      <c r="G18" s="8">
        <f>G17+G$7</f>
        <v>0.25987499999999997</v>
      </c>
      <c r="H18" s="8">
        <f>(SecondOrderC1_GCT*G18^2)+(SecondOrderC2_GCT*G18)+constant_GCT</f>
        <v>150.34138637041997</v>
      </c>
      <c r="L18" s="8">
        <f>L17+L$7</f>
        <v>5828.0374618621699</v>
      </c>
      <c r="M18" s="8">
        <f>(SecondOrderC1_Kleg*L18^2)+(SecondOrderC2_Kleg*L18)+constant_Kleg</f>
        <v>155.01827838108312</v>
      </c>
    </row>
    <row r="19" spans="2:13" x14ac:dyDescent="0.3">
      <c r="B19" s="8">
        <f t="shared" si="1"/>
        <v>155.99999999999991</v>
      </c>
      <c r="C19" s="8">
        <f t="shared" si="0"/>
        <v>151.72000000000037</v>
      </c>
      <c r="G19" s="8">
        <f>G18+G$7</f>
        <v>0.26078124999999996</v>
      </c>
      <c r="H19" s="8">
        <f>(SecondOrderC1_GCT*G19^2)+(SecondOrderC2_GCT*G19)+constant_GCT</f>
        <v>149.97418088835843</v>
      </c>
      <c r="L19" s="8">
        <f>L18+L$7</f>
        <v>5874.3973955407164</v>
      </c>
      <c r="M19" s="8">
        <f>(SecondOrderC1_Kleg*L19^2)+(SecondOrderC2_Kleg*L19)+constant_Kleg</f>
        <v>154.38700038701722</v>
      </c>
    </row>
    <row r="20" spans="2:13" x14ac:dyDescent="0.3">
      <c r="B20" s="8">
        <f t="shared" si="1"/>
        <v>156.66666666666657</v>
      </c>
      <c r="C20" s="8">
        <f t="shared" si="0"/>
        <v>151.13333333333367</v>
      </c>
      <c r="G20" s="8">
        <f>G19+G$7</f>
        <v>0.26168749999999996</v>
      </c>
      <c r="H20" s="8">
        <f>(SecondOrderC1_GCT*G20^2)+(SecondOrderC2_GCT*G20)+constant_GCT</f>
        <v>149.62958098550098</v>
      </c>
      <c r="L20" s="8">
        <f>L19+L$7</f>
        <v>5920.7573292192628</v>
      </c>
      <c r="M20" s="8">
        <f>(SecondOrderC1_Kleg*L20^2)+(SecondOrderC2_Kleg*L20)+constant_Kleg</f>
        <v>153.78022367439365</v>
      </c>
    </row>
    <row r="21" spans="2:13" x14ac:dyDescent="0.3">
      <c r="B21" s="8">
        <f t="shared" si="1"/>
        <v>157.33333333333323</v>
      </c>
      <c r="C21" s="8">
        <f t="shared" si="0"/>
        <v>150.57333333333361</v>
      </c>
      <c r="G21" s="8">
        <f>G20+G$7</f>
        <v>0.26259374999999996</v>
      </c>
      <c r="H21" s="8">
        <f>(SecondOrderC1_GCT*G21^2)+(SecondOrderC2_GCT*G21)+constant_GCT</f>
        <v>149.30758666184693</v>
      </c>
      <c r="L21" s="8">
        <f>L20+L$7</f>
        <v>5967.1172628978093</v>
      </c>
      <c r="M21" s="8">
        <f>(SecondOrderC1_Kleg*L21^2)+(SecondOrderC2_Kleg*L21)+constant_Kleg</f>
        <v>153.19794824321235</v>
      </c>
    </row>
    <row r="22" spans="2:13" x14ac:dyDescent="0.3">
      <c r="B22" s="8">
        <f t="shared" si="1"/>
        <v>157.99999999999989</v>
      </c>
      <c r="C22" s="8">
        <f t="shared" si="0"/>
        <v>150.0400000000003</v>
      </c>
      <c r="G22" s="8">
        <f>G21+G$7</f>
        <v>0.26349999999999996</v>
      </c>
      <c r="H22" s="8">
        <f>(SecondOrderC1_GCT*G22^2)+(SecondOrderC2_GCT*G22)+constant_GCT</f>
        <v>149.0081979173965</v>
      </c>
      <c r="L22" s="8">
        <f>L21+L$7</f>
        <v>6013.4771965763557</v>
      </c>
      <c r="M22" s="8">
        <f>(SecondOrderC1_Kleg*L22^2)+(SecondOrderC2_Kleg*L22)+constant_Kleg</f>
        <v>152.64017409347326</v>
      </c>
    </row>
    <row r="23" spans="2:13" x14ac:dyDescent="0.3">
      <c r="B23" s="8">
        <f t="shared" si="1"/>
        <v>158.66666666666654</v>
      </c>
      <c r="C23" s="8">
        <f t="shared" si="0"/>
        <v>149.53333333333364</v>
      </c>
      <c r="G23" s="8">
        <f>G22+G$7</f>
        <v>0.26440624999999995</v>
      </c>
      <c r="H23" s="8">
        <f>(SecondOrderC1_GCT*G23^2)+(SecondOrderC2_GCT*G23)+constant_GCT</f>
        <v>148.73141475214948</v>
      </c>
      <c r="L23" s="8">
        <f>L22+L$7</f>
        <v>6059.8371302549021</v>
      </c>
      <c r="M23" s="8">
        <f>(SecondOrderC1_Kleg*L23^2)+(SecondOrderC2_Kleg*L23)+constant_Kleg</f>
        <v>152.10690122517639</v>
      </c>
    </row>
    <row r="24" spans="2:13" x14ac:dyDescent="0.3">
      <c r="B24" s="8">
        <f t="shared" si="1"/>
        <v>159.3333333333332</v>
      </c>
      <c r="C24" s="8">
        <f t="shared" si="0"/>
        <v>149.05333333333363</v>
      </c>
      <c r="G24" s="8">
        <f>G23+G$7</f>
        <v>0.26531249999999995</v>
      </c>
      <c r="H24" s="8">
        <f>(SecondOrderC1_GCT*G24^2)+(SecondOrderC2_GCT*G24)+constant_GCT</f>
        <v>148.47723716610653</v>
      </c>
      <c r="L24" s="8">
        <f>L23+L$7</f>
        <v>6106.1970639334486</v>
      </c>
      <c r="M24" s="8">
        <f>(SecondOrderC1_Kleg*L24^2)+(SecondOrderC2_Kleg*L24)+constant_Kleg</f>
        <v>151.59812963832178</v>
      </c>
    </row>
    <row r="25" spans="2:13" x14ac:dyDescent="0.3">
      <c r="B25" s="8">
        <f t="shared" si="1"/>
        <v>159.99999999999986</v>
      </c>
      <c r="C25" s="8">
        <f t="shared" si="0"/>
        <v>148.60000000000036</v>
      </c>
      <c r="G25" s="8">
        <f>G24+G$7</f>
        <v>0.26621874999999995</v>
      </c>
      <c r="H25" s="8">
        <f>(SecondOrderC1_GCT*G25^2)+(SecondOrderC2_GCT*G25)+constant_GCT</f>
        <v>148.24566515926722</v>
      </c>
      <c r="L25" s="8">
        <f>L24+L$7</f>
        <v>6152.556997611995</v>
      </c>
      <c r="M25" s="8">
        <f>(SecondOrderC1_Kleg*L25^2)+(SecondOrderC2_Kleg*L25)+constant_Kleg</f>
        <v>151.1138593329095</v>
      </c>
    </row>
    <row r="26" spans="2:13" x14ac:dyDescent="0.3">
      <c r="B26" s="8">
        <f t="shared" si="1"/>
        <v>160.66666666666652</v>
      </c>
      <c r="C26" s="8">
        <f t="shared" si="0"/>
        <v>148.17333333333363</v>
      </c>
      <c r="G26" s="8">
        <f>G25+G$7</f>
        <v>0.26712499999999995</v>
      </c>
      <c r="H26" s="8">
        <f>(SecondOrderC1_GCT*G26^2)+(SecondOrderC2_GCT*G26)+constant_GCT</f>
        <v>148.0366987316313</v>
      </c>
      <c r="L26" s="8">
        <f>L25+L$7</f>
        <v>6198.9169312905415</v>
      </c>
      <c r="M26" s="8">
        <f>(SecondOrderC1_Kleg*L26^2)+(SecondOrderC2_Kleg*L26)+constant_Kleg</f>
        <v>150.65409030893943</v>
      </c>
    </row>
    <row r="27" spans="2:13" x14ac:dyDescent="0.3">
      <c r="B27" s="8">
        <f t="shared" si="1"/>
        <v>161.33333333333317</v>
      </c>
      <c r="C27" s="8">
        <f t="shared" si="0"/>
        <v>147.77333333333354</v>
      </c>
      <c r="G27" s="8">
        <f>G26+G$7</f>
        <v>0.26803124999999994</v>
      </c>
      <c r="H27" s="8">
        <f>(SecondOrderC1_GCT*G27^2)+(SecondOrderC2_GCT*G27)+constant_GCT</f>
        <v>147.85033788319902</v>
      </c>
      <c r="L27" s="8">
        <f>L26+L$7</f>
        <v>6245.2768649690879</v>
      </c>
      <c r="M27" s="8">
        <f>(SecondOrderC1_Kleg*L27^2)+(SecondOrderC2_Kleg*L27)+constant_Kleg</f>
        <v>150.21882256641157</v>
      </c>
    </row>
    <row r="28" spans="2:13" x14ac:dyDescent="0.3">
      <c r="B28" s="8">
        <f t="shared" si="1"/>
        <v>161.99999999999983</v>
      </c>
      <c r="C28" s="8">
        <f t="shared" si="0"/>
        <v>147.40000000000032</v>
      </c>
      <c r="G28" s="8">
        <f>G27+G$7</f>
        <v>0.26893749999999994</v>
      </c>
      <c r="H28" s="8">
        <f>(SecondOrderC1_GCT*G28^2)+(SecondOrderC2_GCT*G28)+constant_GCT</f>
        <v>147.68658261397081</v>
      </c>
      <c r="L28" s="8">
        <f>L27+L$7</f>
        <v>6291.6367986476344</v>
      </c>
      <c r="M28" s="8">
        <f>(SecondOrderC1_Kleg*L28^2)+(SecondOrderC2_Kleg*L28)+constant_Kleg</f>
        <v>149.80805610532599</v>
      </c>
    </row>
    <row r="29" spans="2:13" x14ac:dyDescent="0.3">
      <c r="B29" s="8">
        <f t="shared" si="1"/>
        <v>162.66666666666649</v>
      </c>
      <c r="C29" s="8">
        <f t="shared" si="0"/>
        <v>147.05333333333363</v>
      </c>
      <c r="G29" s="8">
        <f>G28+G$7</f>
        <v>0.26984374999999994</v>
      </c>
      <c r="H29" s="8">
        <f>(SecondOrderC1_GCT*G29^2)+(SecondOrderC2_GCT*G29)+constant_GCT</f>
        <v>147.54543292394578</v>
      </c>
      <c r="L29" s="8">
        <f>L28+L$7</f>
        <v>6337.9967323261808</v>
      </c>
      <c r="M29" s="8">
        <f>(SecondOrderC1_Kleg*L29^2)+(SecondOrderC2_Kleg*L29)+constant_Kleg</f>
        <v>149.42179092568273</v>
      </c>
    </row>
    <row r="30" spans="2:13" x14ac:dyDescent="0.3">
      <c r="B30" s="8">
        <f t="shared" si="1"/>
        <v>163.33333333333314</v>
      </c>
      <c r="C30" s="8">
        <f t="shared" si="0"/>
        <v>146.73333333333358</v>
      </c>
      <c r="G30" s="8">
        <f>G29+G$7</f>
        <v>0.27074999999999994</v>
      </c>
      <c r="H30" s="8">
        <f>(SecondOrderC1_GCT*G30^2)+(SecondOrderC2_GCT*G30)+constant_GCT</f>
        <v>147.42688881312461</v>
      </c>
      <c r="L30" s="8">
        <f>L29+L$7</f>
        <v>6384.3566660047272</v>
      </c>
      <c r="M30" s="8">
        <f>(SecondOrderC1_Kleg*L30^2)+(SecondOrderC2_Kleg*L30)+constant_Kleg</f>
        <v>149.06002702748162</v>
      </c>
    </row>
    <row r="31" spans="2:13" x14ac:dyDescent="0.3">
      <c r="B31" s="8">
        <f t="shared" si="1"/>
        <v>163.9999999999998</v>
      </c>
      <c r="C31" s="8">
        <f t="shared" si="0"/>
        <v>146.44000000000017</v>
      </c>
      <c r="G31" s="8">
        <f>G30+G$7</f>
        <v>0.27165624999999993</v>
      </c>
      <c r="H31" s="8">
        <f>(SecondOrderC1_GCT*G31^2)+(SecondOrderC2_GCT*G31)+constant_GCT</f>
        <v>147.33095028150751</v>
      </c>
      <c r="L31" s="8">
        <f>L30+L$7</f>
        <v>6430.7165996832737</v>
      </c>
      <c r="M31" s="8">
        <f>(SecondOrderC1_Kleg*L31^2)+(SecondOrderC2_Kleg*L31)+constant_Kleg</f>
        <v>148.72276441072285</v>
      </c>
    </row>
    <row r="32" spans="2:13" x14ac:dyDescent="0.3">
      <c r="B32" s="8">
        <f t="shared" si="1"/>
        <v>164.66666666666646</v>
      </c>
      <c r="C32" s="8">
        <f t="shared" si="0"/>
        <v>146.17333333333363</v>
      </c>
      <c r="G32" s="8">
        <f>G31+G$7</f>
        <v>0.27256249999999993</v>
      </c>
      <c r="H32" s="8">
        <f>(SecondOrderC1_GCT*G32^2)+(SecondOrderC2_GCT*G32)+constant_GCT</f>
        <v>147.25761732909336</v>
      </c>
      <c r="L32" s="8">
        <f>L31+L$7</f>
        <v>6477.0765333618201</v>
      </c>
      <c r="M32" s="8">
        <f>(SecondOrderC1_Kleg*L32^2)+(SecondOrderC2_Kleg*L32)+constant_Kleg</f>
        <v>148.41000307540634</v>
      </c>
    </row>
    <row r="33" spans="2:13" x14ac:dyDescent="0.3">
      <c r="B33" s="8">
        <f t="shared" si="1"/>
        <v>165.33333333333312</v>
      </c>
      <c r="C33" s="8">
        <f t="shared" si="0"/>
        <v>145.93333333333362</v>
      </c>
      <c r="G33" s="8">
        <f>G32+G$7</f>
        <v>0.27346874999999993</v>
      </c>
      <c r="H33" s="8">
        <f>(SecondOrderC1_GCT*G33^2)+(SecondOrderC2_GCT*G33)+constant_GCT</f>
        <v>147.2068899558833</v>
      </c>
      <c r="L33" s="8">
        <f>L32+L$7</f>
        <v>6523.4364670403666</v>
      </c>
      <c r="M33" s="8">
        <f>(SecondOrderC1_Kleg*L33^2)+(SecondOrderC2_Kleg*L33)+constant_Kleg</f>
        <v>148.12174302153204</v>
      </c>
    </row>
    <row r="34" spans="2:13" x14ac:dyDescent="0.3">
      <c r="B34" s="8">
        <f t="shared" si="1"/>
        <v>165.99999999999977</v>
      </c>
      <c r="C34" s="8">
        <f t="shared" si="0"/>
        <v>145.72000000000014</v>
      </c>
      <c r="G34" s="8">
        <f>G33+G$7</f>
        <v>0.27437499999999992</v>
      </c>
      <c r="H34" s="8">
        <f>(SecondOrderC1_GCT*G34^2)+(SecondOrderC2_GCT*G34)+constant_GCT</f>
        <v>147.17876816187663</v>
      </c>
      <c r="L34" s="8">
        <f>L33+L$7</f>
        <v>6569.796400718913</v>
      </c>
      <c r="M34" s="8">
        <f>(SecondOrderC1_Kleg*L34^2)+(SecondOrderC2_Kleg*L34)+constant_Kleg</f>
        <v>147.85798424909996</v>
      </c>
    </row>
    <row r="35" spans="2:13" x14ac:dyDescent="0.3">
      <c r="B35" s="8">
        <f t="shared" si="1"/>
        <v>166.66666666666643</v>
      </c>
      <c r="C35" s="8">
        <f t="shared" si="0"/>
        <v>145.53333333333342</v>
      </c>
      <c r="G35" s="8">
        <f>G34+G$7</f>
        <v>0.27528124999999992</v>
      </c>
      <c r="H35" s="8">
        <f>(SecondOrderC1_GCT*G35^2)+(SecondOrderC2_GCT*G35)+constant_GCT</f>
        <v>147.17325194707405</v>
      </c>
      <c r="L35" s="8">
        <f>L34+L$7</f>
        <v>6616.1563343974594</v>
      </c>
      <c r="M35" s="8">
        <f>(SecondOrderC1_Kleg*L35^2)+(SecondOrderC2_Kleg*L35)+constant_Kleg</f>
        <v>147.6187267581102</v>
      </c>
    </row>
    <row r="36" spans="2:13" x14ac:dyDescent="0.3">
      <c r="B36" s="8">
        <f t="shared" si="1"/>
        <v>167.33333333333309</v>
      </c>
      <c r="C36" s="8">
        <f t="shared" si="0"/>
        <v>145.37333333333345</v>
      </c>
      <c r="G36" s="8">
        <f>G35+G$7</f>
        <v>0.27618749999999992</v>
      </c>
      <c r="H36" s="8">
        <f>(SecondOrderC1_GCT*G36^2)+(SecondOrderC2_GCT*G36)+constant_GCT</f>
        <v>147.19034131147464</v>
      </c>
      <c r="L36" s="8">
        <f>L35+L$7</f>
        <v>6662.5162680760059</v>
      </c>
      <c r="M36" s="8">
        <f>(SecondOrderC1_Kleg*L36^2)+(SecondOrderC2_Kleg*L36)+constant_Kleg</f>
        <v>147.40397054856265</v>
      </c>
    </row>
    <row r="37" spans="2:13" x14ac:dyDescent="0.3">
      <c r="B37" s="8">
        <f t="shared" si="1"/>
        <v>167.99999999999974</v>
      </c>
      <c r="C37" s="8">
        <f t="shared" si="0"/>
        <v>145.24000000000012</v>
      </c>
      <c r="G37" s="8">
        <f>G36+G$7</f>
        <v>0.27709374999999992</v>
      </c>
      <c r="H37" s="8">
        <f>(SecondOrderC1_GCT*G37^2)+(SecondOrderC2_GCT*G37)+constant_GCT</f>
        <v>147.23003625507931</v>
      </c>
      <c r="L37" s="8">
        <f>L36+L$7</f>
        <v>6708.8762017545523</v>
      </c>
      <c r="M37" s="8">
        <f>(SecondOrderC1_Kleg*L37^2)+(SecondOrderC2_Kleg*L37)+constant_Kleg</f>
        <v>147.21371562045738</v>
      </c>
    </row>
    <row r="38" spans="2:13" x14ac:dyDescent="0.3">
      <c r="B38" s="8">
        <f t="shared" si="1"/>
        <v>168.6666666666664</v>
      </c>
      <c r="C38" s="8">
        <f t="shared" si="0"/>
        <v>145.13333333333344</v>
      </c>
      <c r="G38" s="8">
        <f>G37+G$7</f>
        <v>0.27799999999999991</v>
      </c>
      <c r="H38" s="8">
        <f>(SecondOrderC1_GCT*G38^2)+(SecondOrderC2_GCT*G38)+constant_GCT</f>
        <v>147.29233677788716</v>
      </c>
      <c r="L38" s="8">
        <f>L37+L$7</f>
        <v>6755.2361354330988</v>
      </c>
      <c r="M38" s="8">
        <f>(SecondOrderC1_Kleg*L38^2)+(SecondOrderC2_Kleg*L38)+constant_Kleg</f>
        <v>147.04796197379432</v>
      </c>
    </row>
    <row r="39" spans="2:13" x14ac:dyDescent="0.3">
      <c r="B39" s="8">
        <f t="shared" si="1"/>
        <v>169.33333333333306</v>
      </c>
      <c r="C39" s="8">
        <f t="shared" si="0"/>
        <v>145.05333333333351</v>
      </c>
      <c r="G39" s="8">
        <f>G38+G$7</f>
        <v>0.27890624999999991</v>
      </c>
      <c r="H39" s="8">
        <f>(SecondOrderC1_GCT*G39^2)+(SecondOrderC2_GCT*G39)+constant_GCT</f>
        <v>147.37724287989909</v>
      </c>
      <c r="L39" s="8">
        <f>L38+L$7</f>
        <v>6801.5960691116452</v>
      </c>
      <c r="M39" s="8">
        <f>(SecondOrderC1_Kleg*L39^2)+(SecondOrderC2_Kleg*L39)+constant_Kleg</f>
        <v>146.90670960857352</v>
      </c>
    </row>
    <row r="40" spans="2:13" x14ac:dyDescent="0.3">
      <c r="B40" s="8">
        <f t="shared" si="1"/>
        <v>169.99999999999972</v>
      </c>
      <c r="C40" s="8">
        <f t="shared" si="0"/>
        <v>145</v>
      </c>
      <c r="G40" s="8">
        <f>G39+G$7</f>
        <v>0.27981249999999991</v>
      </c>
      <c r="H40" s="8">
        <f>(SecondOrderC1_GCT*G40^2)+(SecondOrderC2_GCT*G40)+constant_GCT</f>
        <v>147.48475456111419</v>
      </c>
      <c r="L40" s="8">
        <f>L39+L$7</f>
        <v>6847.9560027901916</v>
      </c>
      <c r="M40" s="8">
        <f>(SecondOrderC1_Kleg*L40^2)+(SecondOrderC2_Kleg*L40)+constant_Kleg</f>
        <v>146.78995852479505</v>
      </c>
    </row>
    <row r="41" spans="2:13" x14ac:dyDescent="0.3">
      <c r="B41" s="8">
        <f t="shared" si="1"/>
        <v>170.66666666666637</v>
      </c>
      <c r="C41" s="8">
        <f t="shared" si="0"/>
        <v>144.97333333333347</v>
      </c>
      <c r="G41" s="8">
        <f>G40+G$7</f>
        <v>0.28071874999999991</v>
      </c>
      <c r="H41" s="8">
        <f>(SecondOrderC1_GCT*G41^2)+(SecondOrderC2_GCT*G41)+constant_GCT</f>
        <v>147.6148718215336</v>
      </c>
      <c r="L41" s="8">
        <f>L40+L$7</f>
        <v>6894.3159364687381</v>
      </c>
      <c r="M41" s="8">
        <f>(SecondOrderC1_Kleg*L41^2)+(SecondOrderC2_Kleg*L41)+constant_Kleg</f>
        <v>146.69770872245874</v>
      </c>
    </row>
    <row r="42" spans="2:13" x14ac:dyDescent="0.3">
      <c r="B42" s="8">
        <f t="shared" si="1"/>
        <v>171.33333333333303</v>
      </c>
      <c r="C42" s="8">
        <f t="shared" ref="C42:C70" si="2">(SecondOrderC1*B42^2)+(SecondOrderC2*B42)+constant</f>
        <v>144.97333333333336</v>
      </c>
      <c r="G42" s="8">
        <f>G41+G$7</f>
        <v>0.2816249999999999</v>
      </c>
      <c r="H42" s="8">
        <f>(SecondOrderC1_GCT*G42^2)+(SecondOrderC2_GCT*G42)+constant_GCT</f>
        <v>147.76759466115618</v>
      </c>
      <c r="L42" s="8">
        <f>L41+L$7</f>
        <v>6940.6758701472845</v>
      </c>
      <c r="M42" s="8">
        <f>(SecondOrderC1_Kleg*L42^2)+(SecondOrderC2_Kleg*L42)+constant_Kleg</f>
        <v>146.62996020156476</v>
      </c>
    </row>
    <row r="43" spans="2:13" x14ac:dyDescent="0.3">
      <c r="B43" s="8">
        <f t="shared" si="1"/>
        <v>171.99999999999969</v>
      </c>
      <c r="C43" s="8">
        <f t="shared" si="2"/>
        <v>145</v>
      </c>
      <c r="G43" s="8">
        <f>G42+G$7</f>
        <v>0.2825312499999999</v>
      </c>
      <c r="H43" s="8">
        <f>(SecondOrderC1_GCT*G43^2)+(SecondOrderC2_GCT*G43)+constant_GCT</f>
        <v>147.94292307998239</v>
      </c>
      <c r="L43" s="8">
        <f>L42+L$7</f>
        <v>6987.035803825831</v>
      </c>
      <c r="M43" s="8">
        <f>(SecondOrderC1_Kleg*L43^2)+(SecondOrderC2_Kleg*L43)+constant_Kleg</f>
        <v>146.58671296211298</v>
      </c>
    </row>
    <row r="44" spans="2:13" x14ac:dyDescent="0.3">
      <c r="B44" s="8">
        <f t="shared" si="1"/>
        <v>172.66666666666634</v>
      </c>
      <c r="C44" s="8">
        <f t="shared" si="2"/>
        <v>145.0533333333334</v>
      </c>
      <c r="G44" s="8">
        <f>G43+G$7</f>
        <v>0.2834374999999999</v>
      </c>
      <c r="H44" s="8">
        <f>(SecondOrderC1_GCT*G44^2)+(SecondOrderC2_GCT*G44)+constant_GCT</f>
        <v>148.14085707801246</v>
      </c>
      <c r="L44" s="8">
        <f>L43+L$7</f>
        <v>7033.3957375043774</v>
      </c>
      <c r="M44" s="8">
        <f>(SecondOrderC1_Kleg*L44^2)+(SecondOrderC2_Kleg*L44)+constant_Kleg</f>
        <v>146.56796700410354</v>
      </c>
    </row>
    <row r="45" spans="2:13" x14ac:dyDescent="0.3">
      <c r="B45" s="8">
        <f t="shared" si="1"/>
        <v>173.333333333333</v>
      </c>
      <c r="C45" s="8">
        <f t="shared" si="2"/>
        <v>145.13333333333333</v>
      </c>
      <c r="G45" s="8">
        <f>G44+G$7</f>
        <v>0.2843437499999999</v>
      </c>
      <c r="H45" s="8">
        <f>(SecondOrderC1_GCT*G45^2)+(SecondOrderC2_GCT*G45)+constant_GCT</f>
        <v>148.36139665524593</v>
      </c>
      <c r="L45" s="8">
        <f>L44+L$7</f>
        <v>7079.7556711829238</v>
      </c>
      <c r="M45" s="8">
        <f>(SecondOrderC1_Kleg*L45^2)+(SecondOrderC2_Kleg*L45)+constant_Kleg</f>
        <v>146.57372232753625</v>
      </c>
    </row>
    <row r="46" spans="2:13" x14ac:dyDescent="0.3">
      <c r="B46" s="8">
        <f t="shared" si="1"/>
        <v>173.99999999999966</v>
      </c>
      <c r="C46" s="8">
        <f t="shared" si="2"/>
        <v>145.2399999999999</v>
      </c>
      <c r="G46" s="8">
        <f>G45+G$7</f>
        <v>0.28524999999999989</v>
      </c>
      <c r="H46" s="8">
        <f>(SecondOrderC1_GCT*G46^2)+(SecondOrderC2_GCT*G46)+constant_GCT</f>
        <v>148.60454181168348</v>
      </c>
      <c r="L46" s="8">
        <f>L45+L$7</f>
        <v>7126.1156048614703</v>
      </c>
      <c r="M46" s="8">
        <f>(SecondOrderC1_Kleg*L46^2)+(SecondOrderC2_Kleg*L46)+constant_Kleg</f>
        <v>146.60397893241128</v>
      </c>
    </row>
    <row r="47" spans="2:13" x14ac:dyDescent="0.3">
      <c r="B47" s="8">
        <f t="shared" si="1"/>
        <v>174.66666666666632</v>
      </c>
      <c r="C47" s="8">
        <f t="shared" si="2"/>
        <v>145.37333333333322</v>
      </c>
      <c r="G47" s="8">
        <f>G46+G$7</f>
        <v>0.28615624999999989</v>
      </c>
      <c r="H47" s="8">
        <f>(SecondOrderC1_GCT*G47^2)+(SecondOrderC2_GCT*G47)+constant_GCT</f>
        <v>148.87029254732442</v>
      </c>
      <c r="L47" s="8">
        <f>L46+L$7</f>
        <v>7172.4755385400167</v>
      </c>
      <c r="M47" s="8">
        <f>(SecondOrderC1_Kleg*L47^2)+(SecondOrderC2_Kleg*L47)+constant_Kleg</f>
        <v>146.65873681872853</v>
      </c>
    </row>
    <row r="48" spans="2:13" x14ac:dyDescent="0.3">
      <c r="B48" s="8">
        <f t="shared" si="1"/>
        <v>175.33333333333297</v>
      </c>
      <c r="C48" s="8">
        <f t="shared" si="2"/>
        <v>145.53333333333319</v>
      </c>
      <c r="G48" s="8">
        <f>G47+G$7</f>
        <v>0.28706249999999989</v>
      </c>
      <c r="H48" s="8">
        <f>(SecondOrderC1_GCT*G48^2)+(SecondOrderC2_GCT*G48)+constant_GCT</f>
        <v>149.15864886216923</v>
      </c>
      <c r="L48" s="8">
        <f>L47+L$7</f>
        <v>7218.8354722185632</v>
      </c>
      <c r="M48" s="8">
        <f>(SecondOrderC1_Kleg*L48^2)+(SecondOrderC2_Kleg*L48)+constant_Kleg</f>
        <v>146.73799598648804</v>
      </c>
    </row>
    <row r="49" spans="2:13" x14ac:dyDescent="0.3">
      <c r="B49" s="8">
        <f t="shared" si="1"/>
        <v>175.99999999999963</v>
      </c>
      <c r="C49" s="8">
        <f t="shared" si="2"/>
        <v>145.71999999999991</v>
      </c>
      <c r="G49" s="8">
        <f>G48+G$7</f>
        <v>0.28796874999999988</v>
      </c>
      <c r="H49" s="8">
        <f>(SecondOrderC1_GCT*G49^2)+(SecondOrderC2_GCT*G49)+constant_GCT</f>
        <v>149.46961075621721</v>
      </c>
      <c r="L49" s="8">
        <f>L48+L$7</f>
        <v>7265.1954058971096</v>
      </c>
      <c r="M49" s="8">
        <f>(SecondOrderC1_Kleg*L49^2)+(SecondOrderC2_Kleg*L49)+constant_Kleg</f>
        <v>146.84175643568977</v>
      </c>
    </row>
    <row r="50" spans="2:13" x14ac:dyDescent="0.3">
      <c r="B50" s="8">
        <f t="shared" si="1"/>
        <v>176.66666666666629</v>
      </c>
      <c r="C50" s="8">
        <f t="shared" si="2"/>
        <v>145.93333333333328</v>
      </c>
      <c r="G50" s="8">
        <f>G49+G$7</f>
        <v>0.28887499999999988</v>
      </c>
      <c r="H50" s="8">
        <f>(SecondOrderC1_GCT*G50^2)+(SecondOrderC2_GCT*G50)+constant_GCT</f>
        <v>149.80317822946972</v>
      </c>
      <c r="L50" s="8">
        <f>L49+L$7</f>
        <v>7311.555339575656</v>
      </c>
      <c r="M50" s="8">
        <f>(SecondOrderC1_Kleg*L50^2)+(SecondOrderC2_Kleg*L50)+constant_Kleg</f>
        <v>146.97001816633383</v>
      </c>
    </row>
    <row r="51" spans="2:13" x14ac:dyDescent="0.3">
      <c r="B51" s="8">
        <f t="shared" si="1"/>
        <v>177.33333333333294</v>
      </c>
      <c r="C51" s="8">
        <f t="shared" si="2"/>
        <v>146.17333333333329</v>
      </c>
      <c r="G51" s="8">
        <f>G50+G$7</f>
        <v>0.28978124999999988</v>
      </c>
      <c r="H51" s="8">
        <f>(SecondOrderC1_GCT*G51^2)+(SecondOrderC2_GCT*G51)+constant_GCT</f>
        <v>150.15935128192496</v>
      </c>
      <c r="L51" s="8">
        <f>L50+L$7</f>
        <v>7357.9152732542025</v>
      </c>
      <c r="M51" s="8">
        <f>(SecondOrderC1_Kleg*L51^2)+(SecondOrderC2_Kleg*L51)+constant_Kleg</f>
        <v>147.1227811784201</v>
      </c>
    </row>
    <row r="52" spans="2:13" x14ac:dyDescent="0.3">
      <c r="B52" s="8">
        <f t="shared" si="1"/>
        <v>177.9999999999996</v>
      </c>
      <c r="C52" s="8">
        <f t="shared" si="2"/>
        <v>146.43999999999983</v>
      </c>
      <c r="G52" s="8">
        <f>G51+G$7</f>
        <v>0.29068749999999988</v>
      </c>
      <c r="H52" s="8">
        <f>(SecondOrderC1_GCT*G52^2)+(SecondOrderC2_GCT*G52)+constant_GCT</f>
        <v>150.5381299135845</v>
      </c>
      <c r="L52" s="8">
        <f>L51+L$7</f>
        <v>7404.2752069327489</v>
      </c>
      <c r="M52" s="8">
        <f>(SecondOrderC1_Kleg*L52^2)+(SecondOrderC2_Kleg*L52)+constant_Kleg</f>
        <v>147.30004547194864</v>
      </c>
    </row>
    <row r="53" spans="2:13" x14ac:dyDescent="0.3">
      <c r="B53" s="8">
        <f t="shared" si="1"/>
        <v>178.66666666666626</v>
      </c>
      <c r="C53" s="8">
        <f t="shared" si="2"/>
        <v>146.73333333333335</v>
      </c>
      <c r="G53" s="8">
        <f>G52+G$7</f>
        <v>0.29159374999999987</v>
      </c>
      <c r="H53" s="8">
        <f>(SecondOrderC1_GCT*G53^2)+(SecondOrderC2_GCT*G53)+constant_GCT</f>
        <v>150.93951412444721</v>
      </c>
      <c r="L53" s="8">
        <f>L52+L$7</f>
        <v>7450.6351406112954</v>
      </c>
      <c r="M53" s="8">
        <f>(SecondOrderC1_Kleg*L53^2)+(SecondOrderC2_Kleg*L53)+constant_Kleg</f>
        <v>147.50181104691939</v>
      </c>
    </row>
    <row r="54" spans="2:13" x14ac:dyDescent="0.3">
      <c r="B54" s="8">
        <f t="shared" si="1"/>
        <v>179.33333333333292</v>
      </c>
      <c r="C54" s="8">
        <f t="shared" si="2"/>
        <v>147.0533333333334</v>
      </c>
      <c r="G54" s="8">
        <f>G53+G$7</f>
        <v>0.29249999999999987</v>
      </c>
      <c r="H54" s="8">
        <f>(SecondOrderC1_GCT*G54^2)+(SecondOrderC2_GCT*G54)+constant_GCT</f>
        <v>151.36350391451356</v>
      </c>
      <c r="L54" s="8">
        <f>L53+L$7</f>
        <v>7496.9950742898418</v>
      </c>
      <c r="M54" s="8">
        <f>(SecondOrderC1_Kleg*L54^2)+(SecondOrderC2_Kleg*L54)+constant_Kleg</f>
        <v>147.72807790333241</v>
      </c>
    </row>
    <row r="55" spans="2:13" x14ac:dyDescent="0.3">
      <c r="B55" s="8">
        <f t="shared" si="1"/>
        <v>179.99999999999957</v>
      </c>
      <c r="C55" s="8">
        <f t="shared" si="2"/>
        <v>147.39999999999998</v>
      </c>
      <c r="G55" s="8">
        <f>G54+G$7</f>
        <v>0.29340624999999987</v>
      </c>
      <c r="H55" s="8">
        <f>(SecondOrderC1_GCT*G55^2)+(SecondOrderC2_GCT*G55)+constant_GCT</f>
        <v>151.81009928378398</v>
      </c>
      <c r="L55" s="8">
        <f>L54+L$7</f>
        <v>7543.3550079683882</v>
      </c>
      <c r="M55" s="8">
        <f>(SecondOrderC1_Kleg*L55^2)+(SecondOrderC2_Kleg*L55)+constant_Kleg</f>
        <v>147.97884604118769</v>
      </c>
    </row>
    <row r="56" spans="2:13" x14ac:dyDescent="0.3">
      <c r="B56" s="8">
        <f t="shared" si="1"/>
        <v>180.66666666666623</v>
      </c>
      <c r="C56" s="8">
        <f t="shared" si="2"/>
        <v>147.7733333333332</v>
      </c>
      <c r="G56" s="8">
        <f>G55+G$7</f>
        <v>0.29431249999999987</v>
      </c>
      <c r="H56" s="8">
        <f>(SecondOrderC1_GCT*G56^2)+(SecondOrderC2_GCT*G56)+constant_GCT</f>
        <v>152.27930023225758</v>
      </c>
      <c r="L56" s="8">
        <f>L55+L$7</f>
        <v>7589.7149416469347</v>
      </c>
      <c r="M56" s="8">
        <f>(SecondOrderC1_Kleg*L56^2)+(SecondOrderC2_Kleg*L56)+constant_Kleg</f>
        <v>148.25411546048525</v>
      </c>
    </row>
    <row r="57" spans="2:13" x14ac:dyDescent="0.3">
      <c r="B57" s="8">
        <f t="shared" si="1"/>
        <v>181.33333333333289</v>
      </c>
      <c r="C57" s="8">
        <f t="shared" si="2"/>
        <v>148.17333333333318</v>
      </c>
      <c r="G57" s="8">
        <f>G56+G$7</f>
        <v>0.29521874999999986</v>
      </c>
      <c r="H57" s="8">
        <f>(SecondOrderC1_GCT*G57^2)+(SecondOrderC2_GCT*G57)+constant_GCT</f>
        <v>152.77110675993549</v>
      </c>
      <c r="L57" s="8">
        <f>L56+L$7</f>
        <v>7636.0748753254811</v>
      </c>
      <c r="M57" s="8">
        <f>(SecondOrderC1_Kleg*L57^2)+(SecondOrderC2_Kleg*L57)+constant_Kleg</f>
        <v>148.55388616122508</v>
      </c>
    </row>
    <row r="58" spans="2:13" x14ac:dyDescent="0.3">
      <c r="B58" s="8">
        <f t="shared" si="1"/>
        <v>181.99999999999955</v>
      </c>
      <c r="C58" s="8">
        <f t="shared" si="2"/>
        <v>148.5999999999998</v>
      </c>
      <c r="G58" s="8">
        <f>G57+G$7</f>
        <v>0.29612499999999986</v>
      </c>
      <c r="H58" s="8">
        <f>(SecondOrderC1_GCT*G58^2)+(SecondOrderC2_GCT*G58)+constant_GCT</f>
        <v>153.28551886681657</v>
      </c>
      <c r="L58" s="8">
        <f>L57+L$7</f>
        <v>7682.4348090040276</v>
      </c>
      <c r="M58" s="8">
        <f>(SecondOrderC1_Kleg*L58^2)+(SecondOrderC2_Kleg*L58)+constant_Kleg</f>
        <v>148.87815814340712</v>
      </c>
    </row>
    <row r="59" spans="2:13" x14ac:dyDescent="0.3">
      <c r="B59" s="8">
        <f t="shared" si="1"/>
        <v>182.6666666666662</v>
      </c>
      <c r="C59" s="8">
        <f t="shared" si="2"/>
        <v>149.05333333333317</v>
      </c>
      <c r="G59" s="8">
        <f>G58+G$7</f>
        <v>0.29703124999999986</v>
      </c>
      <c r="H59" s="8">
        <f>(SecondOrderC1_GCT*G59^2)+(SecondOrderC2_GCT*G59)+constant_GCT</f>
        <v>153.82253655290151</v>
      </c>
      <c r="L59" s="8">
        <f>L58+L$7</f>
        <v>7728.794742682574</v>
      </c>
      <c r="M59" s="8">
        <f>(SecondOrderC1_Kleg*L59^2)+(SecondOrderC2_Kleg*L59)+constant_Kleg</f>
        <v>149.22693140703137</v>
      </c>
    </row>
    <row r="60" spans="2:13" x14ac:dyDescent="0.3">
      <c r="B60" s="8">
        <f t="shared" si="1"/>
        <v>183.33333333333286</v>
      </c>
      <c r="C60" s="8">
        <f t="shared" si="2"/>
        <v>149.53333333333308</v>
      </c>
      <c r="G60" s="8">
        <f>G59+G$7</f>
        <v>0.29793749999999986</v>
      </c>
      <c r="H60" s="8">
        <f>(SecondOrderC1_GCT*G60^2)+(SecondOrderC2_GCT*G60)+constant_GCT</f>
        <v>154.38215981818985</v>
      </c>
      <c r="L60" s="8">
        <f>L59+L$7</f>
        <v>7775.1546763611204</v>
      </c>
      <c r="M60" s="8">
        <f>(SecondOrderC1_Kleg*L60^2)+(SecondOrderC2_Kleg*L60)+constant_Kleg</f>
        <v>149.60020595209795</v>
      </c>
    </row>
    <row r="61" spans="2:13" x14ac:dyDescent="0.3">
      <c r="B61" s="8">
        <f t="shared" si="1"/>
        <v>183.99999999999952</v>
      </c>
      <c r="C61" s="8">
        <f t="shared" si="2"/>
        <v>150.03999999999985</v>
      </c>
      <c r="G61" s="8">
        <f>G60+G$7</f>
        <v>0.29884374999999985</v>
      </c>
      <c r="H61" s="8">
        <f>(SecondOrderC1_GCT*G61^2)+(SecondOrderC2_GCT*G61)+constant_GCT</f>
        <v>154.96438866268227</v>
      </c>
      <c r="L61" s="8">
        <f>L60+L$7</f>
        <v>7821.5146100396669</v>
      </c>
      <c r="M61" s="8">
        <f>(SecondOrderC1_Kleg*L61^2)+(SecondOrderC2_Kleg*L61)+constant_Kleg</f>
        <v>149.99798177860663</v>
      </c>
    </row>
    <row r="62" spans="2:13" x14ac:dyDescent="0.3">
      <c r="B62" s="8">
        <f t="shared" si="1"/>
        <v>184.66666666666617</v>
      </c>
      <c r="C62" s="8">
        <f t="shared" si="2"/>
        <v>150.57333333333315</v>
      </c>
      <c r="G62" s="8">
        <f>G61+G$7</f>
        <v>0.29974999999999985</v>
      </c>
      <c r="H62" s="8">
        <f>(SecondOrderC1_GCT*G62^2)+(SecondOrderC2_GCT*G62)+constant_GCT</f>
        <v>155.56922308637786</v>
      </c>
      <c r="L62" s="8">
        <f>L61+L$7</f>
        <v>7867.8745437182133</v>
      </c>
      <c r="M62" s="8">
        <f>(SecondOrderC1_Kleg*L62^2)+(SecondOrderC2_Kleg*L62)+constant_Kleg</f>
        <v>150.42025888655769</v>
      </c>
    </row>
    <row r="63" spans="2:13" x14ac:dyDescent="0.3">
      <c r="B63" s="8">
        <f t="shared" si="1"/>
        <v>185.33333333333283</v>
      </c>
      <c r="C63" s="8">
        <f t="shared" si="2"/>
        <v>151.13333333333298</v>
      </c>
      <c r="G63" s="8">
        <f>G62+G$7</f>
        <v>0.30065624999999985</v>
      </c>
      <c r="H63" s="8">
        <f>(SecondOrderC1_GCT*G63^2)+(SecondOrderC2_GCT*G63)+constant_GCT</f>
        <v>156.19666308927754</v>
      </c>
      <c r="L63" s="8">
        <f>L62+L$7</f>
        <v>7914.2344773967598</v>
      </c>
      <c r="M63" s="8">
        <f>(SecondOrderC1_Kleg*L63^2)+(SecondOrderC2_Kleg*L63)+constant_Kleg</f>
        <v>150.86703727595102</v>
      </c>
    </row>
    <row r="64" spans="2:13" x14ac:dyDescent="0.3">
      <c r="B64" s="8">
        <f t="shared" si="1"/>
        <v>185.99999999999949</v>
      </c>
      <c r="C64" s="8">
        <f t="shared" si="2"/>
        <v>151.7199999999998</v>
      </c>
      <c r="G64" s="8">
        <f>G63+G$7</f>
        <v>0.30156249999999984</v>
      </c>
      <c r="H64" s="8">
        <f>(SecondOrderC1_GCT*G64^2)+(SecondOrderC2_GCT*G64)+constant_GCT</f>
        <v>156.84670867138061</v>
      </c>
      <c r="L64" s="8">
        <f>L63+L$7</f>
        <v>7960.5944110753062</v>
      </c>
      <c r="M64" s="8">
        <f>(SecondOrderC1_Kleg*L64^2)+(SecondOrderC2_Kleg*L64)+constant_Kleg</f>
        <v>151.33831694678656</v>
      </c>
    </row>
    <row r="65" spans="2:13" x14ac:dyDescent="0.3">
      <c r="B65" s="8">
        <f t="shared" si="1"/>
        <v>186.66666666666615</v>
      </c>
      <c r="C65" s="8">
        <f t="shared" si="2"/>
        <v>152.33333333333303</v>
      </c>
      <c r="G65" s="8">
        <f>G64+G$7</f>
        <v>0.30246874999999984</v>
      </c>
      <c r="H65" s="8">
        <f>(SecondOrderC1_GCT*G65^2)+(SecondOrderC2_GCT*G65)+constant_GCT</f>
        <v>157.51935983268754</v>
      </c>
      <c r="L65" s="8">
        <f>L64+L$7</f>
        <v>8006.9543447538526</v>
      </c>
      <c r="M65" s="8">
        <f>(SecondOrderC1_Kleg*L65^2)+(SecondOrderC2_Kleg*L65)+constant_Kleg</f>
        <v>151.83409789906443</v>
      </c>
    </row>
    <row r="66" spans="2:13" x14ac:dyDescent="0.3">
      <c r="B66" s="8">
        <f t="shared" si="1"/>
        <v>187.3333333333328</v>
      </c>
      <c r="C66" s="8">
        <f t="shared" si="2"/>
        <v>152.9733333333329</v>
      </c>
      <c r="G66" s="8">
        <f>G65+G$7</f>
        <v>0.30337499999999984</v>
      </c>
      <c r="H66" s="8">
        <f>(SecondOrderC1_GCT*G66^2)+(SecondOrderC2_GCT*G66)+constant_GCT</f>
        <v>158.21461657319787</v>
      </c>
      <c r="L66" s="8">
        <f>L65+L$7</f>
        <v>8053.3142784323991</v>
      </c>
      <c r="M66" s="8">
        <f>(SecondOrderC1_Kleg*L66^2)+(SecondOrderC2_Kleg*L66)+constant_Kleg</f>
        <v>152.35438013278451</v>
      </c>
    </row>
    <row r="67" spans="2:13" x14ac:dyDescent="0.3">
      <c r="B67" s="8">
        <f t="shared" si="1"/>
        <v>187.99999999999946</v>
      </c>
      <c r="C67" s="8">
        <f t="shared" si="2"/>
        <v>153.63999999999965</v>
      </c>
      <c r="G67" s="8">
        <f>G66+G$7</f>
        <v>0.30428124999999984</v>
      </c>
      <c r="H67" s="8">
        <f>(SecondOrderC1_GCT*G67^2)+(SecondOrderC2_GCT*G67)+constant_GCT</f>
        <v>158.9324788929116</v>
      </c>
      <c r="L67" s="8">
        <f>L66+L$7</f>
        <v>8099.6742121109455</v>
      </c>
      <c r="M67" s="8">
        <f>(SecondOrderC1_Kleg*L67^2)+(SecondOrderC2_Kleg*L67)+constant_Kleg</f>
        <v>152.89916364794686</v>
      </c>
    </row>
    <row r="68" spans="2:13" x14ac:dyDescent="0.3">
      <c r="B68" s="8">
        <f t="shared" si="1"/>
        <v>188.66666666666612</v>
      </c>
      <c r="C68" s="8">
        <f t="shared" si="2"/>
        <v>154.33333333333303</v>
      </c>
      <c r="G68" s="8">
        <f>G67+G$7</f>
        <v>0.30518749999999983</v>
      </c>
      <c r="H68" s="8">
        <f>(SecondOrderC1_GCT*G68^2)+(SecondOrderC2_GCT*G68)+constant_GCT</f>
        <v>159.67294679182965</v>
      </c>
      <c r="L68" s="8">
        <f>L67+L$7</f>
        <v>8146.034145789492</v>
      </c>
      <c r="M68" s="8">
        <f>(SecondOrderC1_Kleg*L68^2)+(SecondOrderC2_Kleg*L68)+constant_Kleg</f>
        <v>153.46844844455143</v>
      </c>
    </row>
    <row r="69" spans="2:13" x14ac:dyDescent="0.3">
      <c r="B69" s="8">
        <f t="shared" si="1"/>
        <v>189.33333333333277</v>
      </c>
      <c r="C69" s="8">
        <f t="shared" si="2"/>
        <v>155.05333333333283</v>
      </c>
      <c r="G69" s="8">
        <f>G68+G$7</f>
        <v>0.30609374999999983</v>
      </c>
      <c r="H69" s="8">
        <f>(SecondOrderC1_GCT*G69^2)+(SecondOrderC2_GCT*G69)+constant_GCT</f>
        <v>160.43602026995086</v>
      </c>
      <c r="L69" s="8">
        <f>L68+L$7</f>
        <v>8192.3940794680384</v>
      </c>
      <c r="M69" s="8">
        <f>(SecondOrderC1_Kleg*L69^2)+(SecondOrderC2_Kleg*L69)+constant_Kleg</f>
        <v>154.0622345225982</v>
      </c>
    </row>
    <row r="70" spans="2:13" x14ac:dyDescent="0.3">
      <c r="B70" s="8">
        <f t="shared" si="1"/>
        <v>189.99999999999943</v>
      </c>
      <c r="C70" s="8">
        <f t="shared" si="2"/>
        <v>155.7999999999995</v>
      </c>
      <c r="G70" s="8">
        <f>G69+G$7</f>
        <v>0.30699999999999983</v>
      </c>
      <c r="H70" s="8">
        <f>(SecondOrderC1_GCT*G70^2)+(SecondOrderC2_GCT*G70)+constant_GCT</f>
        <v>161.22169932727616</v>
      </c>
      <c r="L70" s="8">
        <f>L69+L$7</f>
        <v>8238.7540131465848</v>
      </c>
      <c r="M70" s="8">
        <f>(SecondOrderC1_Kleg*L70^2)+(SecondOrderC2_Kleg*L70)+constant_Kleg</f>
        <v>154.68052188208736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68</vt:i4>
      </vt:variant>
    </vt:vector>
  </HeadingPairs>
  <TitlesOfParts>
    <vt:vector size="77" baseType="lpstr">
      <vt:lpstr>Cadence - Heart rate</vt:lpstr>
      <vt:lpstr>GCT_stiffness - Heart rate</vt:lpstr>
      <vt:lpstr>Calcuations</vt:lpstr>
      <vt:lpstr>Cadence-HR</vt:lpstr>
      <vt:lpstr>Cadence(%)-HR</vt:lpstr>
      <vt:lpstr>GCT-HR</vt:lpstr>
      <vt:lpstr>Ground contact time(%)-HR</vt:lpstr>
      <vt:lpstr>Leg stiffness-HR</vt:lpstr>
      <vt:lpstr>Leg stiffness(%)-HR</vt:lpstr>
      <vt:lpstr>ActualCadence</vt:lpstr>
      <vt:lpstr>ActualGCT</vt:lpstr>
      <vt:lpstr>ActualHR</vt:lpstr>
      <vt:lpstr>ActualHR_GCTdata</vt:lpstr>
      <vt:lpstr>ActualKleg</vt:lpstr>
      <vt:lpstr>Aerial1</vt:lpstr>
      <vt:lpstr>Aerial2</vt:lpstr>
      <vt:lpstr>Aerial3</vt:lpstr>
      <vt:lpstr>Aerial4</vt:lpstr>
      <vt:lpstr>Aerial5</vt:lpstr>
      <vt:lpstr>AllHR</vt:lpstr>
      <vt:lpstr>AllStrides</vt:lpstr>
      <vt:lpstr>BodyMass</vt:lpstr>
      <vt:lpstr>constant</vt:lpstr>
      <vt:lpstr>constant_GCT</vt:lpstr>
      <vt:lpstr>constant_Kleg</vt:lpstr>
      <vt:lpstr>Contact1</vt:lpstr>
      <vt:lpstr>Contact2</vt:lpstr>
      <vt:lpstr>Contact3</vt:lpstr>
      <vt:lpstr>Contact4</vt:lpstr>
      <vt:lpstr>Contact5</vt:lpstr>
      <vt:lpstr>deltaCOM1</vt:lpstr>
      <vt:lpstr>deltaCOM2</vt:lpstr>
      <vt:lpstr>deltaCOM3</vt:lpstr>
      <vt:lpstr>deltaCOM4</vt:lpstr>
      <vt:lpstr>deltaCOM5</vt:lpstr>
      <vt:lpstr>EstimatedLegLength</vt:lpstr>
      <vt:lpstr>HeartRate</vt:lpstr>
      <vt:lpstr>Height</vt:lpstr>
      <vt:lpstr>HR_GCT_1</vt:lpstr>
      <vt:lpstr>HR_GCT_2</vt:lpstr>
      <vt:lpstr>HR_GCT_3</vt:lpstr>
      <vt:lpstr>HR_GCT_4</vt:lpstr>
      <vt:lpstr>HR_GCT_pref</vt:lpstr>
      <vt:lpstr>LegStiffness1</vt:lpstr>
      <vt:lpstr>LegStiffness2</vt:lpstr>
      <vt:lpstr>LegStiffness3</vt:lpstr>
      <vt:lpstr>LegStiffness4</vt:lpstr>
      <vt:lpstr>LegStiffness5</vt:lpstr>
      <vt:lpstr>OptimalCadence</vt:lpstr>
      <vt:lpstr>OptimalGCT</vt:lpstr>
      <vt:lpstr>OptimalHR</vt:lpstr>
      <vt:lpstr>OptimalHR_GCT</vt:lpstr>
      <vt:lpstr>OptimalHR_Kleg</vt:lpstr>
      <vt:lpstr>OptimalKleg</vt:lpstr>
      <vt:lpstr>PeakForce1</vt:lpstr>
      <vt:lpstr>PeakForce2</vt:lpstr>
      <vt:lpstr>PeakForce3</vt:lpstr>
      <vt:lpstr>PeakForce4</vt:lpstr>
      <vt:lpstr>PeakForce5</vt:lpstr>
      <vt:lpstr>PredictedCadence</vt:lpstr>
      <vt:lpstr>PredictedGCT</vt:lpstr>
      <vt:lpstr>PredictedHR</vt:lpstr>
      <vt:lpstr>PredictedHR_GCT</vt:lpstr>
      <vt:lpstr>PredictedHR_Kleg</vt:lpstr>
      <vt:lpstr>PredictedKleg</vt:lpstr>
      <vt:lpstr>PredictedValues</vt:lpstr>
      <vt:lpstr>PreferredCadence</vt:lpstr>
      <vt:lpstr>PreferredHR</vt:lpstr>
      <vt:lpstr>RunningVelocity</vt:lpstr>
      <vt:lpstr>SecondOrderC1</vt:lpstr>
      <vt:lpstr>SecondOrderC1_GCT</vt:lpstr>
      <vt:lpstr>SecondOrderC1_Kleg</vt:lpstr>
      <vt:lpstr>SecondOrderC2</vt:lpstr>
      <vt:lpstr>SecondOrderC2_GCT</vt:lpstr>
      <vt:lpstr>SecondOrderC2_Kleg</vt:lpstr>
      <vt:lpstr>x</vt:lpstr>
      <vt:lpstr>y</vt:lpstr>
    </vt:vector>
  </TitlesOfParts>
  <Company>Cardiff Metropolitan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Moore</dc:creator>
  <cp:lastModifiedBy>Moore, Izzy</cp:lastModifiedBy>
  <dcterms:created xsi:type="dcterms:W3CDTF">2016-10-21T20:23:49Z</dcterms:created>
  <dcterms:modified xsi:type="dcterms:W3CDTF">2020-05-28T16:11:03Z</dcterms:modified>
</cp:coreProperties>
</file>